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O &amp; M Detail" sheetId="1" r:id="rId1"/>
  </sheets>
  <definedNames>
    <definedName name="_xlnm.Print_Area" localSheetId="0">'O &amp; M Detail'!$A$1:$AF$212</definedName>
    <definedName name="_xlnm.Print_Titles" localSheetId="0">'O &amp; M Detail'!$1:$1</definedName>
  </definedNames>
  <calcPr fullCalcOnLoad="1"/>
</workbook>
</file>

<file path=xl/sharedStrings.xml><?xml version="1.0" encoding="utf-8"?>
<sst xmlns="http://schemas.openxmlformats.org/spreadsheetml/2006/main" count="727" uniqueCount="163">
  <si>
    <t>Times/Year</t>
  </si>
  <si>
    <t>Supplies</t>
  </si>
  <si>
    <t>Water</t>
  </si>
  <si>
    <t>Shop Ovh</t>
  </si>
  <si>
    <t>Unit Cost</t>
  </si>
  <si>
    <t>Annual Cost</t>
  </si>
  <si>
    <t>Auto Clean</t>
  </si>
  <si>
    <t>Hr/Veh</t>
  </si>
  <si>
    <t>Sq/feet</t>
  </si>
  <si>
    <t>Rent &amp; CAM</t>
  </si>
  <si>
    <t>Contents</t>
  </si>
  <si>
    <t>Insurance, #1</t>
  </si>
  <si>
    <t>per sq.ft.</t>
  </si>
  <si>
    <t>insured</t>
  </si>
  <si>
    <t>Note #1 - Insurance</t>
  </si>
  <si>
    <t>Note #2 - Maintenance</t>
  </si>
  <si>
    <t>HVAC</t>
  </si>
  <si>
    <t>Maintenance #2</t>
  </si>
  <si>
    <t>Utilities #3</t>
  </si>
  <si>
    <t>Note #3 - Utilities</t>
  </si>
  <si>
    <t>Electricity</t>
  </si>
  <si>
    <t xml:space="preserve">Heating </t>
  </si>
  <si>
    <t>Waste</t>
  </si>
  <si>
    <t>Other</t>
  </si>
  <si>
    <t>Payroll overhead</t>
  </si>
  <si>
    <t>Depreciation #5</t>
  </si>
  <si>
    <t>Note #5 - Fixed Assets (Maint Facility)</t>
  </si>
  <si>
    <t>O &amp; M Costs - Vehicles</t>
  </si>
  <si>
    <t>O &amp; M Costs - Stations</t>
  </si>
  <si>
    <t># of Stations</t>
  </si>
  <si>
    <t>Sprinkler Inspection</t>
  </si>
  <si>
    <t>Stations Overhead</t>
  </si>
  <si>
    <t>Building Value</t>
  </si>
  <si>
    <t>Central Facility Overhead</t>
  </si>
  <si>
    <t>Operations</t>
  </si>
  <si>
    <t>CEO</t>
  </si>
  <si>
    <t>Accountant</t>
  </si>
  <si>
    <t>Admin. Ass't</t>
  </si>
  <si>
    <t>Maintenance/Operations Facility</t>
  </si>
  <si>
    <t>Assigned to Vehicles</t>
  </si>
  <si>
    <t>Note #4 - Personnel</t>
  </si>
  <si>
    <t>Personnel #4</t>
  </si>
  <si>
    <t>Note #6 - G &amp; A Other</t>
  </si>
  <si>
    <t>Note #5 - Fixed Assets</t>
  </si>
  <si>
    <t>Supplies expense</t>
  </si>
  <si>
    <t>Meeting expense</t>
  </si>
  <si>
    <t>Dues and subscriptions</t>
  </si>
  <si>
    <t>Telephone</t>
  </si>
  <si>
    <t>Office Supplies</t>
  </si>
  <si>
    <t>Meeting Expense</t>
  </si>
  <si>
    <t>Dues &amp; Subscriptions</t>
  </si>
  <si>
    <t>Mail and Courier</t>
  </si>
  <si>
    <t>Auto &amp; Travel</t>
  </si>
  <si>
    <t>Business Meals</t>
  </si>
  <si>
    <t>G &amp; A - Other #6</t>
  </si>
  <si>
    <t>O &amp; M Expenses</t>
  </si>
  <si>
    <t>Total O &amp; M</t>
  </si>
  <si>
    <t>G &amp; A 50%</t>
  </si>
  <si>
    <t>O &amp; M Costs - Guideways</t>
  </si>
  <si>
    <t>Truck &amp; equip.</t>
  </si>
  <si>
    <t>Assigned to stations</t>
  </si>
  <si>
    <t>Data processing</t>
  </si>
  <si>
    <t>Vehicles</t>
  </si>
  <si>
    <t>Data Processing</t>
  </si>
  <si>
    <t xml:space="preserve">   per station</t>
  </si>
  <si>
    <t>Station Value</t>
  </si>
  <si>
    <t>Guideway</t>
  </si>
  <si>
    <t>Miles</t>
  </si>
  <si>
    <t>Per mile</t>
  </si>
  <si>
    <t>Foundations &amp; Posts</t>
  </si>
  <si>
    <t>Power Supply &amp; Distribution</t>
  </si>
  <si>
    <t>Wayside Comm. &amp; Control</t>
  </si>
  <si>
    <t>Survey &amp; Landscaping</t>
  </si>
  <si>
    <t>Erection &amp; Adjustment</t>
  </si>
  <si>
    <t>Truck &amp; Equipment</t>
  </si>
  <si>
    <t>G &amp; A 40%</t>
  </si>
  <si>
    <t>Gas/Oil/Maint of Truck</t>
  </si>
  <si>
    <t>General Liability &amp; Umbrella</t>
  </si>
  <si>
    <t>G &amp; A - 10%</t>
  </si>
  <si>
    <t>Hours/Yr</t>
  </si>
  <si>
    <t>Technician *</t>
  </si>
  <si>
    <t>Cleaning (daily)</t>
  </si>
  <si>
    <t>Cleaning (5/wk)</t>
  </si>
  <si>
    <t>Central Facility plus G&amp;A amortized to (50% vehicles, 40% stations, 10% Guideways)</t>
  </si>
  <si>
    <t>Total O &amp; M Cost, w/o Depreciation</t>
  </si>
  <si>
    <t xml:space="preserve">           Less Depreciation</t>
  </si>
  <si>
    <t xml:space="preserve">    Less Depreciation</t>
  </si>
  <si>
    <t>Cost/Vehicle/Year w/depreciation</t>
  </si>
  <si>
    <t>Cost/Vehicle/Year w/o depreciation</t>
  </si>
  <si>
    <t>Total O &amp; M Cost, w/depreciation</t>
  </si>
  <si>
    <t>Cost per station w/depreciation</t>
  </si>
  <si>
    <t xml:space="preserve">     Less depreciation</t>
  </si>
  <si>
    <t>Cost per station w/o depreciation</t>
  </si>
  <si>
    <t>Cost per mile of Guideway w/depreciation</t>
  </si>
  <si>
    <t>Cost per mile of Guideway w/o depreciation</t>
  </si>
  <si>
    <t xml:space="preserve">  * efficiency</t>
  </si>
  <si>
    <t>Spare parts</t>
  </si>
  <si>
    <t>Shelving</t>
  </si>
  <si>
    <t>Vehicle Storage Facility</t>
  </si>
  <si>
    <t>10 mile System</t>
  </si>
  <si>
    <t>Hourly</t>
  </si>
  <si>
    <t>Rate</t>
  </si>
  <si>
    <t>Note #6 - Other</t>
  </si>
  <si>
    <t>Auto Travel</t>
  </si>
  <si>
    <t>Other #6</t>
  </si>
  <si>
    <t>premium</t>
  </si>
  <si>
    <t>Meeting</t>
  </si>
  <si>
    <t>Shop Supplies</t>
  </si>
  <si>
    <t>Training</t>
  </si>
  <si>
    <t>OP Electricity</t>
  </si>
  <si>
    <t>Electricity consumed</t>
  </si>
  <si>
    <t>Servicing Stations</t>
  </si>
  <si>
    <t>Site Eng, Proj. Mgmt &amp; Insurance</t>
  </si>
  <si>
    <t>Maint. Foreman</t>
  </si>
  <si>
    <t>Gen. Manager</t>
  </si>
  <si>
    <t>Oper. Mgr</t>
  </si>
  <si>
    <t>Maint. Mech</t>
  </si>
  <si>
    <t>Repair and Adj. Materials</t>
  </si>
  <si>
    <t>Contract work</t>
  </si>
  <si>
    <t>Dues/Sub.</t>
  </si>
  <si>
    <t>Sub.Veh.Cleaning</t>
  </si>
  <si>
    <t>Vehicle Cleaning</t>
  </si>
  <si>
    <t>Vehicle Repairs</t>
  </si>
  <si>
    <t>Sub.Veh. Cleaning</t>
  </si>
  <si>
    <t>Adv.for Employment</t>
  </si>
  <si>
    <t>Emp.AgcyFees</t>
  </si>
  <si>
    <t>25 mile System</t>
  </si>
  <si>
    <t>Variables</t>
  </si>
  <si>
    <t># of Vehicles</t>
  </si>
  <si>
    <t>Sq Ft of Maintenance/Central Facility</t>
  </si>
  <si>
    <t>Vehicle miles/year</t>
  </si>
  <si>
    <t># of Vehicle Transfer Tables</t>
  </si>
  <si>
    <t># of Clean/Wash Machines</t>
  </si>
  <si>
    <t>Miles of Guideway</t>
  </si>
  <si>
    <t>Sq Ft of Office</t>
  </si>
  <si>
    <t>Controller</t>
  </si>
  <si>
    <t>Truck &amp; Equipment/mile</t>
  </si>
  <si>
    <t>Umbrella Insurance Policy</t>
  </si>
  <si>
    <t>Payroll (not including Vehicle Cleaners)</t>
  </si>
  <si>
    <t>50 mile System</t>
  </si>
  <si>
    <t>Passenger Trips/Day</t>
  </si>
  <si>
    <t>Average Fare/Trip</t>
  </si>
  <si>
    <t>Average Trip Length (mile)</t>
  </si>
  <si>
    <t>Engineering Change Orders</t>
  </si>
  <si>
    <t>Ridership Study</t>
  </si>
  <si>
    <t>Central Facility Equip</t>
  </si>
  <si>
    <t>V-miles/vehicle &amp; year</t>
  </si>
  <si>
    <t>V-miles/Veh &amp; day</t>
  </si>
  <si>
    <t>Passkm/dag</t>
  </si>
  <si>
    <t>Fordonskm/fordon &amp; dag</t>
  </si>
  <si>
    <t>Fkm/dag</t>
  </si>
  <si>
    <t>Fordonskm/år</t>
  </si>
  <si>
    <t>Fkm/år</t>
  </si>
  <si>
    <t>Driftkostnad/fkm</t>
  </si>
  <si>
    <t>Passkm/år</t>
  </si>
  <si>
    <t>Driftkostnad/passkm</t>
  </si>
  <si>
    <t>Ekon Livslängd</t>
  </si>
  <si>
    <t>Fordon</t>
  </si>
  <si>
    <t>10 år</t>
  </si>
  <si>
    <t>Depå</t>
  </si>
  <si>
    <t>20 år</t>
  </si>
  <si>
    <t>Stationer</t>
  </si>
  <si>
    <t>Bana</t>
  </si>
</sst>
</file>

<file path=xl/styles.xml><?xml version="1.0" encoding="utf-8"?>
<styleSheet xmlns="http://schemas.openxmlformats.org/spreadsheetml/2006/main">
  <numFmts count="5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0_);\(0.00\)"/>
    <numFmt numFmtId="182" formatCode="&quot;$&quot;#,##0"/>
    <numFmt numFmtId="183" formatCode="_(&quot;$&quot;* #,##0_);_(&quot;$&quot;* \(#,##0\);_(&quot;$&quot;* &quot;-&quot;??_);_(@_)"/>
    <numFmt numFmtId="184" formatCode="_(* #,##0_);_(* \(#,##0\);_(* &quot;-&quot;??_);_(@_)"/>
    <numFmt numFmtId="185" formatCode="&quot;$&quot;#,##0.00"/>
    <numFmt numFmtId="186" formatCode="&quot;$&quot;#,##0.000"/>
    <numFmt numFmtId="187" formatCode="0.00_)"/>
    <numFmt numFmtId="188" formatCode="#,##0.0"/>
    <numFmt numFmtId="189" formatCode="_(&quot;$&quot;* #,##0.0_);_(&quot;$&quot;* \(#,##0.0\);_(&quot;$&quot;* &quot;-&quot;??_);_(@_)"/>
    <numFmt numFmtId="190" formatCode="&quot;$&quot;#,##0.0"/>
    <numFmt numFmtId="191" formatCode="_(* #,##0.0_);_(* \(#,##0.0\);_(* &quot;-&quot;??_);_(@_)"/>
    <numFmt numFmtId="192" formatCode="#,##0.000"/>
    <numFmt numFmtId="193" formatCode="_(* #,##0.000_);_(* \(#,##0.000\);_(* &quot;-&quot;??_);_(@_)"/>
    <numFmt numFmtId="194" formatCode="0.0000"/>
    <numFmt numFmtId="195" formatCode="0.000"/>
    <numFmt numFmtId="196" formatCode="0.0"/>
    <numFmt numFmtId="197" formatCode="_(&quot;$&quot;* #,##0.000_);_(&quot;$&quot;* \(#,##0.000\);_(&quot;$&quot;* &quot;-&quot;??_);_(@_)"/>
    <numFmt numFmtId="198" formatCode="0.000000"/>
    <numFmt numFmtId="199" formatCode="0.00000"/>
    <numFmt numFmtId="200" formatCode="_(&quot;$&quot;* #,##0.0000_);_(&quot;$&quot;* \(#,##0.0000\);_(&quot;$&quot;* &quot;-&quot;??_);_(@_)"/>
    <numFmt numFmtId="201" formatCode="_(&quot;$&quot;* #,##0.00000_);_(&quot;$&quot;* \(#,##0.00000\);_(&quot;$&quot;* &quot;-&quot;??_);_(@_)"/>
    <numFmt numFmtId="202" formatCode="_(&quot;$&quot;* #,##0.000000_);_(&quot;$&quot;* \(#,##0.000000\);_(&quot;$&quot;* &quot;-&quot;??_);_(@_)"/>
    <numFmt numFmtId="203" formatCode="_(* #,##0.00000_);_(* \(#,##0.00000\);_(* &quot;-&quot;?????_);_(@_)"/>
    <numFmt numFmtId="204" formatCode="_(* #,##0.0000_);_(* \(#,##0.0000\);_(* &quot;-&quot;????_);_(@_)"/>
    <numFmt numFmtId="205" formatCode="0.00000000"/>
    <numFmt numFmtId="206" formatCode="0.0000000"/>
    <numFmt numFmtId="207" formatCode="_(* #,##0.000_);_(* \(#,##0.000\);_(* &quot;-&quot;???_);_(@_)"/>
    <numFmt numFmtId="208" formatCode="&quot;$&quot;#,##0.0_);[Red]\(&quot;$&quot;#,##0.0\)"/>
    <numFmt numFmtId="209" formatCode="&quot;$&quot;#,##0.0_);\(&quot;$&quot;#,##0.0\)"/>
    <numFmt numFmtId="210" formatCode="0.0%"/>
    <numFmt numFmtId="211" formatCode="_-* #,##0.0\ _k_r_-;\-* #,##0.0\ _k_r_-;_-* &quot;-&quot;?\ _k_r_-;_-@_-"/>
    <numFmt numFmtId="212" formatCode="_-* #,##0\ _k_r_-;\-* #,##0\ _k_r_-;_-* &quot;-&quot;?\ _k_r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83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178" fontId="0" fillId="0" borderId="0" xfId="17" applyAlignment="1">
      <alignment/>
    </xf>
    <xf numFmtId="184" fontId="0" fillId="0" borderId="0" xfId="15" applyNumberFormat="1" applyAlignment="1">
      <alignment/>
    </xf>
    <xf numFmtId="183" fontId="0" fillId="0" borderId="0" xfId="17" applyNumberFormat="1" applyAlignment="1">
      <alignment/>
    </xf>
    <xf numFmtId="0" fontId="0" fillId="0" borderId="0" xfId="0" applyFont="1" applyAlignment="1">
      <alignment/>
    </xf>
    <xf numFmtId="178" fontId="0" fillId="0" borderId="0" xfId="17" applyNumberFormat="1" applyAlignment="1">
      <alignment/>
    </xf>
    <xf numFmtId="18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97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0" fontId="0" fillId="0" borderId="4" xfId="0" applyBorder="1" applyAlignment="1">
      <alignment/>
    </xf>
    <xf numFmtId="178" fontId="0" fillId="0" borderId="0" xfId="17" applyNumberFormat="1" applyBorder="1" applyAlignment="1">
      <alignment/>
    </xf>
    <xf numFmtId="183" fontId="0" fillId="0" borderId="6" xfId="17" applyNumberFormat="1" applyBorder="1" applyAlignment="1">
      <alignment/>
    </xf>
    <xf numFmtId="184" fontId="0" fillId="0" borderId="0" xfId="15" applyNumberFormat="1" applyBorder="1" applyAlignment="1">
      <alignment/>
    </xf>
    <xf numFmtId="183" fontId="2" fillId="0" borderId="2" xfId="17" applyNumberFormat="1" applyFont="1" applyBorder="1" applyAlignment="1">
      <alignment/>
    </xf>
    <xf numFmtId="183" fontId="0" fillId="0" borderId="5" xfId="17" applyNumberFormat="1" applyFont="1" applyBorder="1" applyAlignment="1">
      <alignment/>
    </xf>
    <xf numFmtId="183" fontId="0" fillId="0" borderId="5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3" fillId="0" borderId="0" xfId="17" applyNumberFormat="1" applyFont="1" applyAlignment="1">
      <alignment horizontal="right"/>
    </xf>
    <xf numFmtId="183" fontId="0" fillId="0" borderId="1" xfId="17" applyNumberFormat="1" applyBorder="1" applyAlignment="1">
      <alignment/>
    </xf>
    <xf numFmtId="9" fontId="0" fillId="0" borderId="6" xfId="21" applyBorder="1" applyAlignment="1">
      <alignment/>
    </xf>
    <xf numFmtId="183" fontId="0" fillId="2" borderId="0" xfId="17" applyNumberFormat="1" applyFill="1" applyAlignment="1">
      <alignment/>
    </xf>
    <xf numFmtId="195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183" fontId="0" fillId="0" borderId="8" xfId="0" applyNumberFormat="1" applyBorder="1" applyAlignment="1">
      <alignment/>
    </xf>
    <xf numFmtId="173" fontId="0" fillId="0" borderId="0" xfId="0" applyNumberFormat="1" applyAlignment="1">
      <alignment/>
    </xf>
    <xf numFmtId="9" fontId="0" fillId="0" borderId="0" xfId="21" applyAlignment="1">
      <alignment/>
    </xf>
    <xf numFmtId="183" fontId="0" fillId="0" borderId="7" xfId="17" applyNumberFormat="1" applyFont="1" applyBorder="1" applyAlignment="1">
      <alignment/>
    </xf>
    <xf numFmtId="183" fontId="0" fillId="0" borderId="0" xfId="17" applyNumberFormat="1" applyBorder="1" applyAlignment="1">
      <alignment/>
    </xf>
    <xf numFmtId="183" fontId="0" fillId="0" borderId="6" xfId="0" applyNumberFormat="1" applyBorder="1" applyAlignment="1">
      <alignment/>
    </xf>
    <xf numFmtId="183" fontId="0" fillId="0" borderId="5" xfId="0" applyNumberFormat="1" applyBorder="1" applyAlignment="1">
      <alignment/>
    </xf>
    <xf numFmtId="184" fontId="0" fillId="0" borderId="6" xfId="15" applyNumberFormat="1" applyBorder="1" applyAlignment="1">
      <alignment/>
    </xf>
    <xf numFmtId="197" fontId="0" fillId="0" borderId="0" xfId="17" applyNumberFormat="1" applyBorder="1" applyAlignment="1">
      <alignment/>
    </xf>
    <xf numFmtId="173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183" fontId="0" fillId="2" borderId="0" xfId="17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83" fontId="0" fillId="0" borderId="0" xfId="17" applyNumberFormat="1" applyFont="1" applyBorder="1" applyAlignment="1">
      <alignment/>
    </xf>
    <xf numFmtId="184" fontId="0" fillId="0" borderId="1" xfId="15" applyNumberFormat="1" applyBorder="1" applyAlignment="1">
      <alignment/>
    </xf>
    <xf numFmtId="9" fontId="0" fillId="0" borderId="0" xfId="0" applyNumberFormat="1" applyBorder="1" applyAlignment="1">
      <alignment/>
    </xf>
    <xf numFmtId="189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wrapText="1"/>
    </xf>
    <xf numFmtId="9" fontId="0" fillId="0" borderId="0" xfId="21" applyBorder="1" applyAlignment="1">
      <alignment/>
    </xf>
    <xf numFmtId="178" fontId="0" fillId="0" borderId="0" xfId="17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84" fontId="0" fillId="2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0" fillId="2" borderId="0" xfId="0" applyNumberFormat="1" applyFill="1" applyBorder="1" applyAlignment="1">
      <alignment/>
    </xf>
    <xf numFmtId="0" fontId="3" fillId="2" borderId="0" xfId="0" applyFont="1" applyFill="1" applyAlignment="1">
      <alignment horizontal="right"/>
    </xf>
    <xf numFmtId="196" fontId="0" fillId="0" borderId="0" xfId="0" applyNumberFormat="1" applyAlignment="1">
      <alignment/>
    </xf>
    <xf numFmtId="184" fontId="0" fillId="0" borderId="6" xfId="17" applyNumberFormat="1" applyBorder="1" applyAlignment="1">
      <alignment/>
    </xf>
    <xf numFmtId="184" fontId="0" fillId="0" borderId="6" xfId="0" applyNumberFormat="1" applyBorder="1" applyAlignment="1">
      <alignment/>
    </xf>
    <xf numFmtId="183" fontId="1" fillId="0" borderId="0" xfId="17" applyNumberFormat="1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3" borderId="2" xfId="0" applyFont="1" applyFill="1" applyBorder="1" applyAlignment="1">
      <alignment/>
    </xf>
    <xf numFmtId="183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212" fontId="0" fillId="3" borderId="0" xfId="0" applyNumberFormat="1" applyFill="1" applyAlignment="1">
      <alignment/>
    </xf>
    <xf numFmtId="184" fontId="0" fillId="3" borderId="0" xfId="0" applyNumberFormat="1" applyFill="1" applyAlignment="1">
      <alignment/>
    </xf>
    <xf numFmtId="212" fontId="1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5"/>
  <sheetViews>
    <sheetView tabSelected="1" zoomScale="75" zoomScaleNormal="75" workbookViewId="0" topLeftCell="A1">
      <selection activeCell="A202" sqref="A202:B211"/>
    </sheetView>
  </sheetViews>
  <sheetFormatPr defaultColWidth="9.140625" defaultRowHeight="12.75"/>
  <cols>
    <col min="1" max="1" width="17.8515625" style="0" customWidth="1"/>
    <col min="2" max="2" width="13.8515625" style="0" bestFit="1" customWidth="1"/>
    <col min="3" max="3" width="12.8515625" style="0" customWidth="1"/>
    <col min="4" max="4" width="13.421875" style="0" customWidth="1"/>
    <col min="5" max="5" width="18.7109375" style="0" customWidth="1"/>
    <col min="6" max="7" width="13.28125" style="0" customWidth="1"/>
    <col min="8" max="8" width="12.421875" style="0" customWidth="1"/>
    <col min="9" max="9" width="18.140625" style="0" customWidth="1"/>
    <col min="10" max="10" width="12.00390625" style="0" customWidth="1"/>
    <col min="11" max="11" width="11.8515625" style="0" customWidth="1"/>
    <col min="12" max="12" width="4.140625" style="4" customWidth="1"/>
    <col min="13" max="13" width="18.7109375" style="0" customWidth="1"/>
    <col min="14" max="14" width="13.8515625" style="0" customWidth="1"/>
    <col min="15" max="15" width="12.8515625" style="0" customWidth="1"/>
    <col min="16" max="16" width="13.421875" style="0" customWidth="1"/>
    <col min="17" max="17" width="10.28125" style="0" customWidth="1"/>
    <col min="18" max="19" width="13.28125" style="0" customWidth="1"/>
    <col min="20" max="20" width="12.00390625" style="0" customWidth="1"/>
    <col min="21" max="21" width="16.140625" style="0" customWidth="1"/>
    <col min="22" max="22" width="12.7109375" style="0" customWidth="1"/>
    <col min="23" max="23" width="13.7109375" style="0" customWidth="1"/>
    <col min="24" max="24" width="4.7109375" style="4" customWidth="1"/>
    <col min="25" max="25" width="17.28125" style="0" customWidth="1"/>
    <col min="26" max="26" width="14.7109375" style="0" customWidth="1"/>
    <col min="27" max="27" width="13.28125" style="0" customWidth="1"/>
    <col min="28" max="28" width="14.28125" style="0" customWidth="1"/>
    <col min="29" max="29" width="10.28125" style="0" customWidth="1"/>
    <col min="31" max="32" width="13.8515625" style="0" customWidth="1"/>
    <col min="34" max="34" width="13.57421875" style="0" customWidth="1"/>
    <col min="35" max="35" width="14.00390625" style="0" customWidth="1"/>
  </cols>
  <sheetData>
    <row r="1" spans="1:35" ht="18">
      <c r="A1" s="5" t="s">
        <v>55</v>
      </c>
      <c r="C1" s="85" t="s">
        <v>99</v>
      </c>
      <c r="D1" s="85"/>
      <c r="E1" s="85"/>
      <c r="F1" s="85"/>
      <c r="G1" s="85"/>
      <c r="H1" s="85"/>
      <c r="K1" t="s">
        <v>56</v>
      </c>
      <c r="M1" s="5" t="s">
        <v>55</v>
      </c>
      <c r="P1" s="85" t="s">
        <v>126</v>
      </c>
      <c r="Q1" s="85"/>
      <c r="R1" s="85"/>
      <c r="S1" s="85"/>
      <c r="T1" s="85"/>
      <c r="U1" s="85"/>
      <c r="W1" t="s">
        <v>56</v>
      </c>
      <c r="Y1" s="5" t="s">
        <v>55</v>
      </c>
      <c r="AB1" s="85" t="s">
        <v>139</v>
      </c>
      <c r="AC1" s="85"/>
      <c r="AD1" s="85"/>
      <c r="AE1" s="85"/>
      <c r="AF1" s="85"/>
      <c r="AG1" s="85"/>
      <c r="AI1" t="s">
        <v>56</v>
      </c>
    </row>
    <row r="3" spans="1:31" ht="12.75">
      <c r="A3" s="5" t="s">
        <v>27</v>
      </c>
      <c r="G3" s="59" t="s">
        <v>100</v>
      </c>
      <c r="M3" s="5" t="s">
        <v>27</v>
      </c>
      <c r="S3" s="59" t="s">
        <v>100</v>
      </c>
      <c r="Y3" s="5" t="s">
        <v>27</v>
      </c>
      <c r="AE3" s="59" t="s">
        <v>100</v>
      </c>
    </row>
    <row r="4" spans="7:31" ht="12.75">
      <c r="G4" s="59" t="s">
        <v>101</v>
      </c>
      <c r="S4" s="59" t="s">
        <v>101</v>
      </c>
      <c r="X4" s="71"/>
      <c r="AE4" s="59" t="s">
        <v>101</v>
      </c>
    </row>
    <row r="5" spans="2:34" ht="12.75">
      <c r="B5" s="13" t="s">
        <v>7</v>
      </c>
      <c r="C5" s="13" t="s">
        <v>0</v>
      </c>
      <c r="D5" s="13" t="s">
        <v>79</v>
      </c>
      <c r="E5" s="13"/>
      <c r="F5" s="13"/>
      <c r="G5" s="13" t="s">
        <v>3</v>
      </c>
      <c r="H5" s="13" t="s">
        <v>4</v>
      </c>
      <c r="J5" s="34" t="s">
        <v>5</v>
      </c>
      <c r="N5" s="13" t="s">
        <v>7</v>
      </c>
      <c r="O5" s="13" t="s">
        <v>0</v>
      </c>
      <c r="P5" s="13" t="s">
        <v>79</v>
      </c>
      <c r="Q5" s="13"/>
      <c r="R5" s="13"/>
      <c r="S5" s="13" t="s">
        <v>3</v>
      </c>
      <c r="T5" s="13" t="s">
        <v>4</v>
      </c>
      <c r="V5" s="34" t="s">
        <v>5</v>
      </c>
      <c r="Z5" s="13" t="s">
        <v>7</v>
      </c>
      <c r="AA5" s="13" t="s">
        <v>0</v>
      </c>
      <c r="AB5" s="13" t="s">
        <v>79</v>
      </c>
      <c r="AC5" s="13"/>
      <c r="AD5" s="13"/>
      <c r="AE5" s="13" t="s">
        <v>3</v>
      </c>
      <c r="AF5" s="13" t="s">
        <v>4</v>
      </c>
      <c r="AH5" s="34" t="s">
        <v>5</v>
      </c>
    </row>
    <row r="6" spans="1:34" ht="12.75">
      <c r="A6" t="s">
        <v>6</v>
      </c>
      <c r="B6" s="38">
        <f>4/60</f>
        <v>0.06666666666666667</v>
      </c>
      <c r="C6">
        <v>190</v>
      </c>
      <c r="D6" s="7">
        <f>(+B6*C6*B$14)</f>
        <v>5358</v>
      </c>
      <c r="G6" s="10">
        <f>(+B$27)/SUM(D$6:D$8)</f>
        <v>229.65001362402592</v>
      </c>
      <c r="H6" s="10">
        <f>SUM(E6:F6,G6)</f>
        <v>229.65001362402592</v>
      </c>
      <c r="I6" s="8"/>
      <c r="J6" s="8">
        <f>+D6*H6+I6</f>
        <v>1230464.7729975309</v>
      </c>
      <c r="L6" s="68"/>
      <c r="M6" t="s">
        <v>6</v>
      </c>
      <c r="N6" s="38">
        <f>4/60</f>
        <v>0.06666666666666667</v>
      </c>
      <c r="O6">
        <v>190</v>
      </c>
      <c r="P6" s="7">
        <f>(+N6*O6*N$14)</f>
        <v>37430</v>
      </c>
      <c r="S6" s="10">
        <f>(+N$27)/SUM(P$6:P$8)</f>
        <v>179.5160113681588</v>
      </c>
      <c r="T6" s="10">
        <f>SUM(Q6:R6,S6)</f>
        <v>179.5160113681588</v>
      </c>
      <c r="U6" s="8"/>
      <c r="V6" s="8">
        <f>+P6*T6+U6</f>
        <v>6719284.305510184</v>
      </c>
      <c r="Y6" t="s">
        <v>6</v>
      </c>
      <c r="Z6" s="38">
        <f>4/60</f>
        <v>0.06666666666666667</v>
      </c>
      <c r="AA6">
        <v>190</v>
      </c>
      <c r="AB6" s="7">
        <f>(+Z6*AA6*Z$14)</f>
        <v>90883.33333333333</v>
      </c>
      <c r="AE6" s="10">
        <f>(+Z$27)/SUM(AB$6:AB$8)</f>
        <v>175.12065654067302</v>
      </c>
      <c r="AF6" s="10">
        <f>SUM(AC6:AD6,AE6)</f>
        <v>175.12065654067302</v>
      </c>
      <c r="AG6" s="8"/>
      <c r="AH6" s="8">
        <f>+AB6*AF6+AG6</f>
        <v>15915549.001938166</v>
      </c>
    </row>
    <row r="7" spans="1:34" ht="12.75">
      <c r="A7" t="s">
        <v>123</v>
      </c>
      <c r="B7" s="38">
        <f>4/60/B$10</f>
        <v>0.08333333333333333</v>
      </c>
      <c r="C7">
        <v>190</v>
      </c>
      <c r="D7" s="7">
        <f>(+B7*C7*B$14)</f>
        <v>6697.499999999999</v>
      </c>
      <c r="E7" s="6"/>
      <c r="F7" s="6"/>
      <c r="G7" s="10">
        <f>(+B$27)/SUM(D$6:D$8)</f>
        <v>229.65001362402592</v>
      </c>
      <c r="H7" s="10">
        <f>SUM(E7:F7,G7)</f>
        <v>229.65001362402592</v>
      </c>
      <c r="I7" s="8"/>
      <c r="J7" s="8">
        <f>+D7*H7+I7</f>
        <v>1538080.9662469134</v>
      </c>
      <c r="L7" s="68"/>
      <c r="M7" t="s">
        <v>123</v>
      </c>
      <c r="N7" s="38">
        <f>4/60/N$10</f>
        <v>0.08333333333333333</v>
      </c>
      <c r="O7">
        <v>190</v>
      </c>
      <c r="P7" s="7">
        <f>(+N7*O7*N$14)</f>
        <v>46787.5</v>
      </c>
      <c r="Q7" s="6"/>
      <c r="R7" s="6"/>
      <c r="S7" s="10">
        <f>(+N$27)/SUM(P$6:P$8)</f>
        <v>179.5160113681588</v>
      </c>
      <c r="T7" s="10">
        <f>SUM(Q7:R7,S7)</f>
        <v>179.5160113681588</v>
      </c>
      <c r="U7" s="8"/>
      <c r="V7" s="8">
        <f>+P7*T7+U7</f>
        <v>8399105.381887728</v>
      </c>
      <c r="Y7" t="s">
        <v>123</v>
      </c>
      <c r="Z7" s="38">
        <f>4/60/Z$10</f>
        <v>0.08333333333333333</v>
      </c>
      <c r="AA7">
        <v>190</v>
      </c>
      <c r="AB7" s="7">
        <f>(+Z7*AA7*Z$14)</f>
        <v>113604.16666666666</v>
      </c>
      <c r="AC7" s="6"/>
      <c r="AD7" s="6"/>
      <c r="AE7" s="10">
        <f>(+Z$27)/SUM(AB$6:AB$8)</f>
        <v>175.12065654067302</v>
      </c>
      <c r="AF7" s="10">
        <f>SUM(AC7:AD7,AE7)</f>
        <v>175.12065654067302</v>
      </c>
      <c r="AG7" s="8"/>
      <c r="AH7" s="8">
        <f>+AB7*AF7+AG7</f>
        <v>19894436.252422705</v>
      </c>
    </row>
    <row r="8" spans="1:34" ht="12.75">
      <c r="A8" t="s">
        <v>80</v>
      </c>
      <c r="B8" s="38">
        <f>0.5/B$10</f>
        <v>0.625</v>
      </c>
      <c r="C8">
        <v>3</v>
      </c>
      <c r="D8" s="7">
        <f>(+B8*C8*B$14)</f>
        <v>793.125</v>
      </c>
      <c r="E8" s="6"/>
      <c r="F8" s="6"/>
      <c r="G8" s="10">
        <f>(+B$27)/SUM(D$6:D$8)</f>
        <v>229.65001362402592</v>
      </c>
      <c r="H8" s="10">
        <f>SUM(E8:F8,G8)</f>
        <v>229.65001362402592</v>
      </c>
      <c r="I8" s="8"/>
      <c r="J8" s="8">
        <f>+D8*H8+I8</f>
        <v>182141.16705555556</v>
      </c>
      <c r="L8" s="68"/>
      <c r="M8" t="s">
        <v>80</v>
      </c>
      <c r="N8" s="38">
        <f>0.5/N$10</f>
        <v>0.625</v>
      </c>
      <c r="O8">
        <v>3</v>
      </c>
      <c r="P8" s="7">
        <f>(+N8*O8*N$14)</f>
        <v>5540.625</v>
      </c>
      <c r="Q8" s="6"/>
      <c r="R8" s="6"/>
      <c r="S8" s="10">
        <f>(+N$27)/SUM(P$6:P$8)</f>
        <v>179.5160113681588</v>
      </c>
      <c r="T8" s="10">
        <f>SUM(Q8:R8,S8)</f>
        <v>179.5160113681588</v>
      </c>
      <c r="U8" s="8"/>
      <c r="V8" s="8">
        <f>+P8*T8+U8</f>
        <v>994630.9004867048</v>
      </c>
      <c r="Y8" t="s">
        <v>80</v>
      </c>
      <c r="Z8" s="38">
        <f>0.5/Z$10</f>
        <v>0.625</v>
      </c>
      <c r="AA8">
        <v>3</v>
      </c>
      <c r="AB8" s="7">
        <f>(+Z8*AA8*Z$14)</f>
        <v>13453.125</v>
      </c>
      <c r="AC8" s="6"/>
      <c r="AD8" s="6"/>
      <c r="AE8" s="10">
        <f>(+Z$27)/SUM(AB$6:AB$8)</f>
        <v>175.12065654067302</v>
      </c>
      <c r="AF8" s="10">
        <f>SUM(AC8:AD8,AE8)</f>
        <v>175.12065654067302</v>
      </c>
      <c r="AG8" s="8"/>
      <c r="AH8" s="8">
        <f>+AB8*AF8+AG8</f>
        <v>2355920.0825237418</v>
      </c>
    </row>
    <row r="9" spans="4:34" ht="12.75">
      <c r="D9" s="11"/>
      <c r="H9" s="11"/>
      <c r="I9" s="3"/>
      <c r="J9" s="8"/>
      <c r="P9" s="11"/>
      <c r="T9" s="11"/>
      <c r="U9" s="3"/>
      <c r="V9" s="8"/>
      <c r="AB9" s="11"/>
      <c r="AF9" s="11"/>
      <c r="AG9" s="3"/>
      <c r="AH9" s="8"/>
    </row>
    <row r="10" spans="1:35" ht="12.75">
      <c r="A10" t="s">
        <v>95</v>
      </c>
      <c r="B10" s="43">
        <v>0.8</v>
      </c>
      <c r="D10" s="12"/>
      <c r="J10" s="8">
        <f>SUM(J6:J8)</f>
        <v>2950686.9063</v>
      </c>
      <c r="K10" s="3">
        <f>+J10</f>
        <v>2950686.9063</v>
      </c>
      <c r="L10" s="37"/>
      <c r="M10" t="s">
        <v>95</v>
      </c>
      <c r="N10" s="43">
        <v>0.8</v>
      </c>
      <c r="P10" s="12"/>
      <c r="V10" s="8">
        <f>SUM(V6:V8)</f>
        <v>16113020.587884616</v>
      </c>
      <c r="W10" s="3">
        <f>+V10</f>
        <v>16113020.587884616</v>
      </c>
      <c r="Y10" t="s">
        <v>95</v>
      </c>
      <c r="Z10" s="43">
        <v>0.8</v>
      </c>
      <c r="AB10" s="12"/>
      <c r="AH10" s="8">
        <f>SUM(AH6:AH8)</f>
        <v>38165905.33688461</v>
      </c>
      <c r="AI10" s="3">
        <f>+AH10</f>
        <v>38165905.33688461</v>
      </c>
    </row>
    <row r="11" spans="4:34" ht="12.75">
      <c r="D11" s="12"/>
      <c r="G11" t="s">
        <v>87</v>
      </c>
      <c r="J11" s="8">
        <f>+J10/B14</f>
        <v>6975.619163829787</v>
      </c>
      <c r="L11" s="69"/>
      <c r="P11" s="12"/>
      <c r="S11" t="s">
        <v>87</v>
      </c>
      <c r="V11" s="8">
        <f>+V10/N14</f>
        <v>5452.798845307822</v>
      </c>
      <c r="AB11" s="12"/>
      <c r="AE11" t="s">
        <v>87</v>
      </c>
      <c r="AH11" s="8">
        <f>+AH10/Z14</f>
        <v>5319.289942422943</v>
      </c>
    </row>
    <row r="12" spans="4:34" ht="12.75">
      <c r="D12" s="12"/>
      <c r="G12" t="s">
        <v>86</v>
      </c>
      <c r="J12" s="56">
        <f>-(B24+0.5*B146)/B14</f>
        <v>-3146.5830260047283</v>
      </c>
      <c r="L12" s="69"/>
      <c r="P12" s="12"/>
      <c r="S12" t="s">
        <v>86</v>
      </c>
      <c r="V12" s="56">
        <f>-(N24+0.5*N146)/N14</f>
        <v>-2915.434817128726</v>
      </c>
      <c r="AB12" s="12"/>
      <c r="AE12" t="s">
        <v>86</v>
      </c>
      <c r="AH12" s="56">
        <f>-(Z24+0.5*Z146)/Z14</f>
        <v>-2900.541029214688</v>
      </c>
    </row>
    <row r="13" spans="1:34" ht="12.75">
      <c r="A13" s="1" t="s">
        <v>38</v>
      </c>
      <c r="G13" t="s">
        <v>88</v>
      </c>
      <c r="J13" s="3">
        <f>SUM(J11:J12)</f>
        <v>3829.0361378250586</v>
      </c>
      <c r="M13" s="1" t="s">
        <v>38</v>
      </c>
      <c r="S13" t="s">
        <v>88</v>
      </c>
      <c r="V13" s="3">
        <f>SUM(V11:V12)</f>
        <v>2537.3640281790963</v>
      </c>
      <c r="Y13" s="1" t="s">
        <v>38</v>
      </c>
      <c r="AE13" t="s">
        <v>88</v>
      </c>
      <c r="AH13" s="3">
        <f>SUM(AH11:AH12)</f>
        <v>2418.7489132082546</v>
      </c>
    </row>
    <row r="14" spans="1:26" ht="12.75">
      <c r="A14" t="s">
        <v>62</v>
      </c>
      <c r="B14" s="11">
        <f>+D192</f>
        <v>423</v>
      </c>
      <c r="M14" t="s">
        <v>62</v>
      </c>
      <c r="N14" s="7">
        <f>P192</f>
        <v>2955</v>
      </c>
      <c r="Y14" t="s">
        <v>62</v>
      </c>
      <c r="Z14" s="7">
        <f>+AB192</f>
        <v>7175</v>
      </c>
    </row>
    <row r="15" spans="1:34" ht="12.75">
      <c r="A15" s="9" t="s">
        <v>8</v>
      </c>
      <c r="B15" s="7">
        <f>+D193</f>
        <v>6500</v>
      </c>
      <c r="E15" s="14" t="s">
        <v>19</v>
      </c>
      <c r="F15" s="15"/>
      <c r="G15" s="26"/>
      <c r="I15" s="79" t="s">
        <v>156</v>
      </c>
      <c r="J15" s="80"/>
      <c r="M15" s="9" t="s">
        <v>8</v>
      </c>
      <c r="N15" s="7">
        <f>P193</f>
        <v>8500</v>
      </c>
      <c r="Q15" s="14" t="s">
        <v>19</v>
      </c>
      <c r="R15" s="15"/>
      <c r="S15" s="26"/>
      <c r="V15" s="3"/>
      <c r="Y15" s="9" t="s">
        <v>8</v>
      </c>
      <c r="Z15" s="7">
        <f>AB193</f>
        <v>15000</v>
      </c>
      <c r="AC15" s="14" t="s">
        <v>19</v>
      </c>
      <c r="AD15" s="15"/>
      <c r="AE15" s="26"/>
      <c r="AH15" s="3"/>
    </row>
    <row r="16" spans="1:31" ht="12.75">
      <c r="A16" t="s">
        <v>110</v>
      </c>
      <c r="B16" s="7">
        <f>+D194</f>
        <v>34151006</v>
      </c>
      <c r="C16">
        <v>0.009</v>
      </c>
      <c r="E16" s="18" t="s">
        <v>20</v>
      </c>
      <c r="F16" s="27">
        <v>5</v>
      </c>
      <c r="G16" s="21">
        <f>+$B$15*F16</f>
        <v>32500</v>
      </c>
      <c r="I16" s="81" t="s">
        <v>157</v>
      </c>
      <c r="J16" s="82" t="s">
        <v>158</v>
      </c>
      <c r="M16" t="s">
        <v>110</v>
      </c>
      <c r="N16" s="7">
        <f>+P194</f>
        <v>249644425</v>
      </c>
      <c r="O16">
        <v>0.009</v>
      </c>
      <c r="Q16" s="18" t="s">
        <v>20</v>
      </c>
      <c r="R16" s="27">
        <v>5</v>
      </c>
      <c r="S16" s="21">
        <f>+N15*R16</f>
        <v>42500</v>
      </c>
      <c r="Y16" t="s">
        <v>110</v>
      </c>
      <c r="Z16" s="7">
        <f>+AB194</f>
        <v>621453436</v>
      </c>
      <c r="AA16">
        <v>0.009</v>
      </c>
      <c r="AC16" s="18" t="s">
        <v>20</v>
      </c>
      <c r="AD16" s="27">
        <v>5</v>
      </c>
      <c r="AE16" s="21">
        <f>+Z15*AD16</f>
        <v>75000</v>
      </c>
    </row>
    <row r="17" spans="1:31" ht="12.75">
      <c r="A17" s="9" t="s">
        <v>9</v>
      </c>
      <c r="B17" s="3">
        <f>+B15*C17</f>
        <v>65000</v>
      </c>
      <c r="C17" s="6">
        <v>10</v>
      </c>
      <c r="E17" s="18" t="s">
        <v>21</v>
      </c>
      <c r="F17" s="27">
        <v>3</v>
      </c>
      <c r="G17" s="21">
        <f>+$B$15*F17</f>
        <v>19500</v>
      </c>
      <c r="I17" s="81" t="s">
        <v>159</v>
      </c>
      <c r="J17" s="82" t="s">
        <v>160</v>
      </c>
      <c r="K17" s="19" t="s">
        <v>98</v>
      </c>
      <c r="M17" s="9" t="s">
        <v>9</v>
      </c>
      <c r="N17" s="3">
        <f>+N15*O17</f>
        <v>85000</v>
      </c>
      <c r="O17" s="6">
        <v>10</v>
      </c>
      <c r="Q17" s="18" t="s">
        <v>21</v>
      </c>
      <c r="R17" s="27">
        <v>3</v>
      </c>
      <c r="S17" s="21">
        <f>+N15*R17</f>
        <v>25500</v>
      </c>
      <c r="Y17" s="9" t="s">
        <v>9</v>
      </c>
      <c r="Z17" s="3">
        <f>+Z15*AA17</f>
        <v>150000</v>
      </c>
      <c r="AA17" s="6">
        <v>10</v>
      </c>
      <c r="AC17" s="18" t="s">
        <v>21</v>
      </c>
      <c r="AD17" s="27">
        <v>3</v>
      </c>
      <c r="AE17" s="21">
        <f>+Z15*AD17</f>
        <v>45000</v>
      </c>
    </row>
    <row r="18" spans="1:31" ht="12.75">
      <c r="A18" s="9" t="s">
        <v>11</v>
      </c>
      <c r="B18" s="3">
        <f>+C39</f>
        <v>39021.7323</v>
      </c>
      <c r="E18" s="18" t="s">
        <v>2</v>
      </c>
      <c r="F18" s="27">
        <v>1.5</v>
      </c>
      <c r="G18" s="21">
        <f>+$B$15*F18</f>
        <v>9750</v>
      </c>
      <c r="I18" s="81" t="s">
        <v>161</v>
      </c>
      <c r="J18" s="82" t="s">
        <v>160</v>
      </c>
      <c r="M18" s="9" t="s">
        <v>11</v>
      </c>
      <c r="N18" s="3">
        <f>+O39</f>
        <v>257717.1282692308</v>
      </c>
      <c r="Q18" s="18" t="s">
        <v>2</v>
      </c>
      <c r="R18" s="27">
        <v>1.5</v>
      </c>
      <c r="S18" s="21">
        <f>+N15*R18</f>
        <v>12750</v>
      </c>
      <c r="Y18" s="9" t="s">
        <v>11</v>
      </c>
      <c r="Z18" s="3">
        <f>+AA39</f>
        <v>623486.2782692309</v>
      </c>
      <c r="AC18" s="18" t="s">
        <v>2</v>
      </c>
      <c r="AD18" s="27">
        <v>1.5</v>
      </c>
      <c r="AE18" s="21">
        <f>+Z15*AD18</f>
        <v>22500</v>
      </c>
    </row>
    <row r="19" spans="1:31" ht="12.75">
      <c r="A19" s="9" t="s">
        <v>17</v>
      </c>
      <c r="B19" s="3">
        <f>+C49</f>
        <v>498031.5</v>
      </c>
      <c r="D19" s="3"/>
      <c r="E19" s="18" t="s">
        <v>22</v>
      </c>
      <c r="F19" s="27">
        <v>0.5</v>
      </c>
      <c r="G19" s="21">
        <f>+$B$15*F19</f>
        <v>3250</v>
      </c>
      <c r="I19" s="83" t="s">
        <v>162</v>
      </c>
      <c r="J19" s="84" t="s">
        <v>160</v>
      </c>
      <c r="M19" s="9" t="s">
        <v>17</v>
      </c>
      <c r="N19" s="3">
        <f>+O49</f>
        <v>3251692.5</v>
      </c>
      <c r="P19" s="3"/>
      <c r="Q19" s="18" t="s">
        <v>22</v>
      </c>
      <c r="R19" s="27">
        <v>0.5</v>
      </c>
      <c r="S19" s="21">
        <f>+N15*R19</f>
        <v>4250</v>
      </c>
      <c r="Y19" s="9" t="s">
        <v>17</v>
      </c>
      <c r="Z19" s="3">
        <f>+AA49</f>
        <v>7881862.5</v>
      </c>
      <c r="AB19" s="3"/>
      <c r="AC19" s="18" t="s">
        <v>22</v>
      </c>
      <c r="AD19" s="27">
        <v>0.5</v>
      </c>
      <c r="AE19" s="21">
        <f>+Z15*AD19</f>
        <v>7500</v>
      </c>
    </row>
    <row r="20" spans="1:34" ht="12.75">
      <c r="A20" s="9" t="s">
        <v>18</v>
      </c>
      <c r="B20" s="3">
        <f>+G22</f>
        <v>372359.054</v>
      </c>
      <c r="E20" s="18" t="s">
        <v>109</v>
      </c>
      <c r="F20" s="29"/>
      <c r="G20" s="28">
        <f>+B16*C16</f>
        <v>307359.054</v>
      </c>
      <c r="J20" s="3"/>
      <c r="M20" s="9" t="s">
        <v>18</v>
      </c>
      <c r="N20" s="3">
        <f>+S22</f>
        <v>2331799.8249999997</v>
      </c>
      <c r="Q20" s="18" t="s">
        <v>109</v>
      </c>
      <c r="R20" s="29"/>
      <c r="S20" s="28">
        <f>+N16*O16</f>
        <v>2246799.8249999997</v>
      </c>
      <c r="V20" s="3"/>
      <c r="Y20" s="9" t="s">
        <v>18</v>
      </c>
      <c r="Z20" s="3">
        <f>+AE22</f>
        <v>5743080.924</v>
      </c>
      <c r="AC20" s="18" t="s">
        <v>109</v>
      </c>
      <c r="AD20" s="29"/>
      <c r="AE20" s="28">
        <f>+Z16*AA16</f>
        <v>5593080.924</v>
      </c>
      <c r="AH20" s="3"/>
    </row>
    <row r="21" spans="1:31" ht="12.75">
      <c r="A21" s="9" t="s">
        <v>41</v>
      </c>
      <c r="B21" s="3">
        <f>+G31</f>
        <v>169500</v>
      </c>
      <c r="E21" s="18"/>
      <c r="F21" s="19"/>
      <c r="G21" s="28"/>
      <c r="M21" s="9" t="s">
        <v>41</v>
      </c>
      <c r="N21" s="3">
        <f>+S31</f>
        <v>283500</v>
      </c>
      <c r="Q21" s="18"/>
      <c r="R21" s="19"/>
      <c r="S21" s="28"/>
      <c r="Y21" s="9" t="s">
        <v>41</v>
      </c>
      <c r="Z21" s="3">
        <f>+AE31</f>
        <v>430500</v>
      </c>
      <c r="AC21" s="18"/>
      <c r="AD21" s="19"/>
      <c r="AE21" s="28"/>
    </row>
    <row r="22" spans="1:31" ht="12.75">
      <c r="A22" s="9" t="s">
        <v>24</v>
      </c>
      <c r="B22" s="8">
        <f>+B21*0.25</f>
        <v>42375</v>
      </c>
      <c r="E22" s="23"/>
      <c r="F22" s="2"/>
      <c r="G22" s="25">
        <f>SUM(G16:G21)</f>
        <v>372359.054</v>
      </c>
      <c r="M22" s="9" t="s">
        <v>24</v>
      </c>
      <c r="N22" s="8">
        <f>+N21*0.25</f>
        <v>70875</v>
      </c>
      <c r="Q22" s="23"/>
      <c r="R22" s="2"/>
      <c r="S22" s="25">
        <f>SUM(S16:S21)</f>
        <v>2331799.8249999997</v>
      </c>
      <c r="Y22" s="9" t="s">
        <v>24</v>
      </c>
      <c r="Z22" s="8">
        <f>+Z21*0.25</f>
        <v>107625</v>
      </c>
      <c r="AC22" s="23"/>
      <c r="AD22" s="2"/>
      <c r="AE22" s="25">
        <f>SUM(AE16:AE21)</f>
        <v>5743080.924</v>
      </c>
    </row>
    <row r="23" spans="1:27" ht="12.75">
      <c r="A23" t="s">
        <v>120</v>
      </c>
      <c r="B23" s="3">
        <f>+D7*C23</f>
        <v>100462.49999999999</v>
      </c>
      <c r="C23" s="6">
        <v>15</v>
      </c>
      <c r="M23" t="s">
        <v>120</v>
      </c>
      <c r="N23" s="3">
        <f>+P7*O23</f>
        <v>701812.5</v>
      </c>
      <c r="O23" s="6">
        <v>15</v>
      </c>
      <c r="Y23" t="s">
        <v>120</v>
      </c>
      <c r="Z23" s="3">
        <f>+AB7*AA23</f>
        <v>1704062.4999999998</v>
      </c>
      <c r="AA23" s="6">
        <v>15</v>
      </c>
    </row>
    <row r="24" spans="1:31" ht="12.75">
      <c r="A24" s="9" t="s">
        <v>25</v>
      </c>
      <c r="B24" s="8">
        <f>SUM(G34/20)+SUM(G35:G37)/5+G39/10</f>
        <v>1322754.62</v>
      </c>
      <c r="E24" s="88" t="s">
        <v>40</v>
      </c>
      <c r="F24" s="89"/>
      <c r="G24" s="26"/>
      <c r="M24" s="9" t="s">
        <v>25</v>
      </c>
      <c r="N24" s="8">
        <f>SUM(S34/20)+SUM(S35:S37)/5+S39/10</f>
        <v>8602734.884615386</v>
      </c>
      <c r="Q24" s="14" t="s">
        <v>40</v>
      </c>
      <c r="R24" s="15"/>
      <c r="S24" s="26"/>
      <c r="Y24" s="9" t="s">
        <v>25</v>
      </c>
      <c r="Z24" s="8">
        <f>SUM(AE34/20)+SUM(AE35:AE37)/5+AE39/10</f>
        <v>20790756.884615388</v>
      </c>
      <c r="AC24" s="14" t="s">
        <v>40</v>
      </c>
      <c r="AD24" s="15"/>
      <c r="AE24" s="26"/>
    </row>
    <row r="25" spans="1:31" ht="12.75">
      <c r="A25" s="9" t="s">
        <v>104</v>
      </c>
      <c r="B25" s="8">
        <f>+G48</f>
        <v>30800</v>
      </c>
      <c r="E25" s="86" t="s">
        <v>114</v>
      </c>
      <c r="F25" s="87">
        <f>B202</f>
        <v>1</v>
      </c>
      <c r="G25" s="46">
        <f>+D202</f>
        <v>75000</v>
      </c>
      <c r="M25" s="9" t="s">
        <v>104</v>
      </c>
      <c r="N25" s="8">
        <f>+S48</f>
        <v>50400</v>
      </c>
      <c r="Q25" s="18" t="s">
        <v>114</v>
      </c>
      <c r="R25" s="19">
        <f>+N202</f>
        <v>1</v>
      </c>
      <c r="S25" s="46">
        <f>+P202</f>
        <v>100000</v>
      </c>
      <c r="Y25" s="9" t="s">
        <v>104</v>
      </c>
      <c r="Z25" s="8">
        <f>+AE48</f>
        <v>78400</v>
      </c>
      <c r="AC25" s="18" t="s">
        <v>114</v>
      </c>
      <c r="AD25" s="19">
        <f>+Z202</f>
        <v>1</v>
      </c>
      <c r="AE25" s="46">
        <f>+AB202</f>
        <v>100000</v>
      </c>
    </row>
    <row r="26" spans="1:31" ht="12.75" customHeight="1">
      <c r="A26" t="s">
        <v>57</v>
      </c>
      <c r="B26" s="35">
        <f>+B152*0.5</f>
        <v>310382.5</v>
      </c>
      <c r="E26" s="86" t="s">
        <v>115</v>
      </c>
      <c r="F26" s="87">
        <v>1</v>
      </c>
      <c r="G26" s="48">
        <v>60000</v>
      </c>
      <c r="M26" t="s">
        <v>57</v>
      </c>
      <c r="N26" s="35">
        <f>+N152*0.5</f>
        <v>477488.75</v>
      </c>
      <c r="Q26" s="18" t="s">
        <v>115</v>
      </c>
      <c r="R26" s="19">
        <f>+N203</f>
        <v>2</v>
      </c>
      <c r="S26" s="46">
        <f>+P203</f>
        <v>120000</v>
      </c>
      <c r="Y26" t="s">
        <v>57</v>
      </c>
      <c r="Z26" s="35">
        <f>+Z152*0.5</f>
        <v>656131.25</v>
      </c>
      <c r="AC26" s="18" t="s">
        <v>115</v>
      </c>
      <c r="AD26" s="19">
        <f>+Z203</f>
        <v>3</v>
      </c>
      <c r="AE26" s="46">
        <f>+AB203</f>
        <v>180000</v>
      </c>
    </row>
    <row r="27" spans="1:31" ht="12.75" customHeight="1">
      <c r="A27" s="9"/>
      <c r="B27" s="3">
        <f>SUM(B17:B26)</f>
        <v>2950686.9063</v>
      </c>
      <c r="C27" s="3"/>
      <c r="E27" s="86" t="s">
        <v>34</v>
      </c>
      <c r="F27" s="87">
        <v>6</v>
      </c>
      <c r="G27" s="48">
        <f>+F27*45000</f>
        <v>270000</v>
      </c>
      <c r="M27" s="9"/>
      <c r="N27" s="3">
        <f>SUM(N17:N26)</f>
        <v>16113020.587884616</v>
      </c>
      <c r="Q27" s="18" t="s">
        <v>34</v>
      </c>
      <c r="R27" s="19">
        <f>+N204</f>
        <v>9</v>
      </c>
      <c r="S27" s="46">
        <f>+P204</f>
        <v>405000</v>
      </c>
      <c r="Y27" s="9"/>
      <c r="Z27" s="3">
        <f>SUM(Z17:Z26)</f>
        <v>38165905.33688462</v>
      </c>
      <c r="AC27" s="18" t="s">
        <v>34</v>
      </c>
      <c r="AD27" s="19">
        <f>+Z204</f>
        <v>15</v>
      </c>
      <c r="AE27" s="46">
        <f>+AB204</f>
        <v>675000</v>
      </c>
    </row>
    <row r="28" spans="5:31" ht="12.75" customHeight="1">
      <c r="E28" s="86" t="s">
        <v>113</v>
      </c>
      <c r="F28" s="87">
        <v>1</v>
      </c>
      <c r="G28" s="48">
        <v>60000</v>
      </c>
      <c r="Q28" s="18" t="s">
        <v>113</v>
      </c>
      <c r="R28" s="19">
        <f>+N205</f>
        <v>2</v>
      </c>
      <c r="S28" s="46">
        <f>+P205</f>
        <v>120000</v>
      </c>
      <c r="AC28" s="18" t="s">
        <v>113</v>
      </c>
      <c r="AD28" s="19">
        <f>+Z205</f>
        <v>3</v>
      </c>
      <c r="AE28" s="46">
        <f>+AB205</f>
        <v>180000</v>
      </c>
    </row>
    <row r="29" spans="1:31" ht="12.75">
      <c r="A29" s="14" t="s">
        <v>14</v>
      </c>
      <c r="B29" s="16" t="s">
        <v>12</v>
      </c>
      <c r="C29" s="17"/>
      <c r="E29" s="86" t="s">
        <v>116</v>
      </c>
      <c r="F29" s="87">
        <v>2</v>
      </c>
      <c r="G29" s="48">
        <f>+F29*50000</f>
        <v>100000</v>
      </c>
      <c r="M29" s="14" t="s">
        <v>14</v>
      </c>
      <c r="N29" s="16" t="s">
        <v>12</v>
      </c>
      <c r="O29" s="17"/>
      <c r="Q29" s="18" t="s">
        <v>116</v>
      </c>
      <c r="R29" s="19">
        <f>+N206</f>
        <v>4</v>
      </c>
      <c r="S29" s="46">
        <f>+P206</f>
        <v>200000</v>
      </c>
      <c r="Y29" s="14" t="s">
        <v>14</v>
      </c>
      <c r="Z29" s="16" t="s">
        <v>12</v>
      </c>
      <c r="AA29" s="17"/>
      <c r="AC29" s="18" t="s">
        <v>116</v>
      </c>
      <c r="AD29" s="19">
        <f>+Z206</f>
        <v>6</v>
      </c>
      <c r="AE29" s="46">
        <f>+AB206</f>
        <v>300000</v>
      </c>
    </row>
    <row r="30" spans="1:31" ht="12.75">
      <c r="A30" s="18" t="s">
        <v>32</v>
      </c>
      <c r="B30" s="20">
        <v>40</v>
      </c>
      <c r="C30" s="21">
        <f>+B$15*B30</f>
        <v>260000</v>
      </c>
      <c r="E30" s="86" t="s">
        <v>39</v>
      </c>
      <c r="F30" s="87"/>
      <c r="G30" s="36">
        <v>0.3</v>
      </c>
      <c r="M30" s="18" t="s">
        <v>32</v>
      </c>
      <c r="N30" s="20">
        <v>40</v>
      </c>
      <c r="O30" s="21">
        <f>+N$15*N30</f>
        <v>340000</v>
      </c>
      <c r="Q30" s="18" t="s">
        <v>39</v>
      </c>
      <c r="R30" s="19"/>
      <c r="S30" s="36">
        <v>0.3</v>
      </c>
      <c r="Y30" s="18" t="s">
        <v>32</v>
      </c>
      <c r="Z30" s="20">
        <v>40</v>
      </c>
      <c r="AA30" s="21">
        <f>+Z$15*Z30</f>
        <v>600000</v>
      </c>
      <c r="AC30" s="18" t="s">
        <v>39</v>
      </c>
      <c r="AD30" s="19"/>
      <c r="AE30" s="36">
        <v>0.3</v>
      </c>
    </row>
    <row r="31" spans="1:31" ht="12.75">
      <c r="A31" s="18" t="s">
        <v>62</v>
      </c>
      <c r="B31" s="45">
        <v>25951</v>
      </c>
      <c r="C31" s="74">
        <f>+B14*B31*1.1</f>
        <v>12075000.3</v>
      </c>
      <c r="E31" s="23"/>
      <c r="F31" s="2"/>
      <c r="G31" s="25">
        <f>SUM(G25:G29)*G30</f>
        <v>169500</v>
      </c>
      <c r="M31" s="18" t="s">
        <v>62</v>
      </c>
      <c r="N31" s="45">
        <v>25951</v>
      </c>
      <c r="O31" s="74">
        <f>+N14*N31*1.1</f>
        <v>84353725.5</v>
      </c>
      <c r="Q31" s="23"/>
      <c r="R31" s="2"/>
      <c r="S31" s="25">
        <f>SUM(S25:S29)*S30</f>
        <v>283500</v>
      </c>
      <c r="Y31" s="18" t="s">
        <v>62</v>
      </c>
      <c r="Z31" s="45">
        <v>25951</v>
      </c>
      <c r="AA31" s="74">
        <f>+Z14*Z31*1.1</f>
        <v>204818267.50000003</v>
      </c>
      <c r="AC31" s="23"/>
      <c r="AD31" s="2"/>
      <c r="AE31" s="25">
        <f>SUM(AE25:AE29)*AE30</f>
        <v>430500</v>
      </c>
    </row>
    <row r="32" spans="1:27" ht="12.75">
      <c r="A32" s="18" t="s">
        <v>98</v>
      </c>
      <c r="B32" s="45"/>
      <c r="C32" s="21">
        <f>+B14*0.7*9*20*1.1</f>
        <v>58627.799999999996</v>
      </c>
      <c r="M32" s="18" t="s">
        <v>98</v>
      </c>
      <c r="N32" s="19"/>
      <c r="O32" s="21">
        <f>+N14*0.7*9*20*1.1</f>
        <v>409563.00000000006</v>
      </c>
      <c r="Y32" s="18" t="s">
        <v>98</v>
      </c>
      <c r="Z32" s="19"/>
      <c r="AA32" s="21">
        <f>+Z14*0.7*9*20*1.1</f>
        <v>994455.0000000001</v>
      </c>
    </row>
    <row r="33" spans="1:31" ht="12.75">
      <c r="A33" s="18" t="s">
        <v>145</v>
      </c>
      <c r="B33" s="45">
        <f>289560/6500</f>
        <v>44.54769230769231</v>
      </c>
      <c r="C33" s="21">
        <f>+B$15*B33*1.1</f>
        <v>318516</v>
      </c>
      <c r="E33" s="14" t="s">
        <v>26</v>
      </c>
      <c r="F33" s="15"/>
      <c r="G33" s="26"/>
      <c r="M33" s="18" t="s">
        <v>145</v>
      </c>
      <c r="N33" s="45">
        <f>289560/6500</f>
        <v>44.54769230769231</v>
      </c>
      <c r="O33" s="21">
        <f>+N$15*N33*1.1</f>
        <v>416520.9230769231</v>
      </c>
      <c r="Q33" s="14" t="s">
        <v>26</v>
      </c>
      <c r="R33" s="15"/>
      <c r="S33" s="26"/>
      <c r="Y33" s="18" t="s">
        <v>145</v>
      </c>
      <c r="Z33" s="45">
        <f>289560/6500</f>
        <v>44.54769230769231</v>
      </c>
      <c r="AA33" s="21">
        <f>+Z$15*Z33*1.1</f>
        <v>735036.9230769231</v>
      </c>
      <c r="AC33" s="14" t="s">
        <v>26</v>
      </c>
      <c r="AD33" s="15"/>
      <c r="AE33" s="26"/>
    </row>
    <row r="34" spans="1:31" ht="12.75">
      <c r="A34" s="18" t="s">
        <v>96</v>
      </c>
      <c r="B34" s="20">
        <v>6</v>
      </c>
      <c r="C34" s="21">
        <f>+$B$15*B34</f>
        <v>39000</v>
      </c>
      <c r="E34" s="18" t="str">
        <f>+A32</f>
        <v>Vehicle Storage Facility</v>
      </c>
      <c r="F34" s="19"/>
      <c r="G34" s="28">
        <f>+C32</f>
        <v>58627.799999999996</v>
      </c>
      <c r="M34" s="18" t="s">
        <v>96</v>
      </c>
      <c r="N34" s="20">
        <v>6</v>
      </c>
      <c r="O34" s="21">
        <f>+N15*N34</f>
        <v>51000</v>
      </c>
      <c r="Q34" s="18" t="str">
        <f>+M32</f>
        <v>Vehicle Storage Facility</v>
      </c>
      <c r="R34" s="19"/>
      <c r="S34" s="28">
        <f>+O32</f>
        <v>409563.00000000006</v>
      </c>
      <c r="Y34" s="18" t="s">
        <v>96</v>
      </c>
      <c r="Z34" s="20">
        <v>6</v>
      </c>
      <c r="AA34" s="21">
        <f>+Z15*Z34</f>
        <v>90000</v>
      </c>
      <c r="AC34" s="18" t="str">
        <f>+Y32</f>
        <v>Vehicle Storage Facility</v>
      </c>
      <c r="AD34" s="19"/>
      <c r="AE34" s="28">
        <f>+AA32</f>
        <v>994455.0000000001</v>
      </c>
    </row>
    <row r="35" spans="1:31" ht="12.75">
      <c r="A35" s="18" t="s">
        <v>1</v>
      </c>
      <c r="B35" s="20">
        <v>2</v>
      </c>
      <c r="C35" s="21">
        <f>+$B$15*B35</f>
        <v>13000</v>
      </c>
      <c r="E35" s="18" t="str">
        <f>+A33</f>
        <v>Central Facility Equip</v>
      </c>
      <c r="F35" s="19"/>
      <c r="G35" s="21">
        <f>+C33</f>
        <v>318516</v>
      </c>
      <c r="M35" s="18" t="s">
        <v>1</v>
      </c>
      <c r="N35" s="20">
        <v>2</v>
      </c>
      <c r="O35" s="21">
        <f>+N15*N35</f>
        <v>17000</v>
      </c>
      <c r="Q35" s="18" t="str">
        <f>+M33</f>
        <v>Central Facility Equip</v>
      </c>
      <c r="R35" s="19"/>
      <c r="S35" s="21">
        <f>+O33</f>
        <v>416520.9230769231</v>
      </c>
      <c r="Y35" s="18" t="s">
        <v>1</v>
      </c>
      <c r="Z35" s="20">
        <v>2</v>
      </c>
      <c r="AA35" s="21">
        <f>+Z15*Z35</f>
        <v>30000</v>
      </c>
      <c r="AC35" s="18" t="str">
        <f>+Y33</f>
        <v>Central Facility Equip</v>
      </c>
      <c r="AD35" s="19"/>
      <c r="AE35" s="21">
        <f>+AA33</f>
        <v>735036.9230769231</v>
      </c>
    </row>
    <row r="36" spans="1:31" ht="12.75">
      <c r="A36" s="18" t="s">
        <v>97</v>
      </c>
      <c r="B36" s="20">
        <v>4</v>
      </c>
      <c r="C36" s="21">
        <f>+$B$15*B36*1.1</f>
        <v>28600.000000000004</v>
      </c>
      <c r="E36" s="18" t="str">
        <f>+A36</f>
        <v>Shelving</v>
      </c>
      <c r="F36" s="19"/>
      <c r="G36" s="21">
        <f>+C36</f>
        <v>28600.000000000004</v>
      </c>
      <c r="M36" s="18" t="s">
        <v>97</v>
      </c>
      <c r="N36" s="20">
        <v>4</v>
      </c>
      <c r="O36" s="21">
        <f>+N15*N36*1.1</f>
        <v>37400</v>
      </c>
      <c r="Q36" s="18" t="str">
        <f>+M36</f>
        <v>Shelving</v>
      </c>
      <c r="R36" s="19"/>
      <c r="S36" s="21">
        <f>+O36</f>
        <v>37400</v>
      </c>
      <c r="Y36" s="18" t="s">
        <v>97</v>
      </c>
      <c r="Z36" s="20">
        <v>4</v>
      </c>
      <c r="AA36" s="21">
        <f>+Z15*Z36*1.1</f>
        <v>66000</v>
      </c>
      <c r="AC36" s="18" t="str">
        <f>+Y36</f>
        <v>Shelving</v>
      </c>
      <c r="AD36" s="19"/>
      <c r="AE36" s="21">
        <f>+AA36</f>
        <v>66000</v>
      </c>
    </row>
    <row r="37" spans="1:31" ht="12.75">
      <c r="A37" s="18" t="s">
        <v>23</v>
      </c>
      <c r="B37" s="20">
        <v>30</v>
      </c>
      <c r="C37" s="21">
        <f>+$B$15*B37*1.1</f>
        <v>214500.00000000003</v>
      </c>
      <c r="E37" s="18" t="str">
        <f>+A37</f>
        <v>Other</v>
      </c>
      <c r="F37" s="19"/>
      <c r="G37" s="21">
        <f>+C37</f>
        <v>214500.00000000003</v>
      </c>
      <c r="M37" s="18" t="s">
        <v>23</v>
      </c>
      <c r="N37" s="20">
        <v>30</v>
      </c>
      <c r="O37" s="21">
        <f>+N15*N37*1.1</f>
        <v>280500</v>
      </c>
      <c r="Q37" s="18" t="str">
        <f>+M37</f>
        <v>Other</v>
      </c>
      <c r="R37" s="19"/>
      <c r="S37" s="21">
        <f>+O37</f>
        <v>280500</v>
      </c>
      <c r="Y37" s="18" t="s">
        <v>23</v>
      </c>
      <c r="Z37" s="20">
        <v>30</v>
      </c>
      <c r="AA37" s="21">
        <f>+Z15*Z37*1.1</f>
        <v>495000.00000000006</v>
      </c>
      <c r="AC37" s="18" t="str">
        <f>+Y37</f>
        <v>Other</v>
      </c>
      <c r="AD37" s="19"/>
      <c r="AE37" s="21">
        <f>+AA37</f>
        <v>495000.00000000006</v>
      </c>
    </row>
    <row r="38" spans="1:31" ht="12.75">
      <c r="A38" s="18"/>
      <c r="B38" s="19"/>
      <c r="C38" s="21">
        <f>SUM(C30:C37)</f>
        <v>13007244.100000001</v>
      </c>
      <c r="E38" s="18"/>
      <c r="F38" s="19"/>
      <c r="G38" s="28">
        <f>SUM(G34:G37)</f>
        <v>620243.8</v>
      </c>
      <c r="M38" s="18"/>
      <c r="N38" s="19"/>
      <c r="O38" s="21">
        <f>SUM(O30:O37)</f>
        <v>85905709.42307693</v>
      </c>
      <c r="Q38" s="18"/>
      <c r="R38" s="19"/>
      <c r="S38" s="28">
        <f>SUM(S34:S37)</f>
        <v>1143983.9230769232</v>
      </c>
      <c r="Y38" s="18"/>
      <c r="Z38" s="19"/>
      <c r="AA38" s="21">
        <f>SUM(AA30:AA37)</f>
        <v>207828759.42307696</v>
      </c>
      <c r="AC38" s="18"/>
      <c r="AD38" s="19"/>
      <c r="AE38" s="28">
        <f>SUM(AE34:AE37)</f>
        <v>2290491.9230769235</v>
      </c>
    </row>
    <row r="39" spans="1:31" ht="12.75">
      <c r="A39" s="23" t="s">
        <v>13</v>
      </c>
      <c r="B39" s="24">
        <v>0.003</v>
      </c>
      <c r="C39" s="25">
        <f>+C38*B39</f>
        <v>39021.7323</v>
      </c>
      <c r="E39" s="18" t="s">
        <v>62</v>
      </c>
      <c r="F39" s="45"/>
      <c r="G39" s="46">
        <f>+C31</f>
        <v>12075000.3</v>
      </c>
      <c r="M39" s="23" t="s">
        <v>13</v>
      </c>
      <c r="N39" s="24">
        <v>0.003</v>
      </c>
      <c r="O39" s="25">
        <f>+O38*N39</f>
        <v>257717.1282692308</v>
      </c>
      <c r="Q39" s="18" t="s">
        <v>62</v>
      </c>
      <c r="R39" s="45"/>
      <c r="S39" s="46">
        <f>+O31</f>
        <v>84353725.5</v>
      </c>
      <c r="Y39" s="23" t="s">
        <v>13</v>
      </c>
      <c r="Z39" s="24">
        <v>0.003</v>
      </c>
      <c r="AA39" s="25">
        <f>+AA38*Z39</f>
        <v>623486.2782692309</v>
      </c>
      <c r="AC39" s="18" t="s">
        <v>62</v>
      </c>
      <c r="AD39" s="45"/>
      <c r="AE39" s="46">
        <f>+AA31</f>
        <v>204818267.50000003</v>
      </c>
    </row>
    <row r="40" spans="5:31" ht="12.75">
      <c r="E40" s="23"/>
      <c r="F40" s="2"/>
      <c r="G40" s="25">
        <f>SUM(G38:G39)</f>
        <v>12695244.100000001</v>
      </c>
      <c r="Q40" s="23"/>
      <c r="R40" s="2"/>
      <c r="S40" s="25">
        <f>SUM(S38:S39)</f>
        <v>85497709.42307693</v>
      </c>
      <c r="AC40" s="23"/>
      <c r="AD40" s="2"/>
      <c r="AE40" s="25">
        <f>SUM(AE38:AE39)</f>
        <v>207108759.42307696</v>
      </c>
    </row>
    <row r="41" spans="1:27" ht="12.75">
      <c r="A41" s="30" t="s">
        <v>15</v>
      </c>
      <c r="B41" s="15"/>
      <c r="C41" s="26"/>
      <c r="M41" s="30" t="s">
        <v>15</v>
      </c>
      <c r="N41" s="15"/>
      <c r="O41" s="26"/>
      <c r="Y41" s="30" t="s">
        <v>15</v>
      </c>
      <c r="Z41" s="15"/>
      <c r="AA41" s="26"/>
    </row>
    <row r="42" spans="1:31" ht="12.75">
      <c r="A42" s="31" t="s">
        <v>30</v>
      </c>
      <c r="B42" s="27">
        <v>0.1</v>
      </c>
      <c r="C42" s="21">
        <f>+$B$15*B42</f>
        <v>650</v>
      </c>
      <c r="E42" s="14" t="s">
        <v>102</v>
      </c>
      <c r="F42" s="15"/>
      <c r="G42" s="26"/>
      <c r="M42" s="31" t="s">
        <v>30</v>
      </c>
      <c r="N42" s="27">
        <v>0.1</v>
      </c>
      <c r="O42" s="21">
        <f>+N15*N42</f>
        <v>850</v>
      </c>
      <c r="Q42" s="14" t="s">
        <v>102</v>
      </c>
      <c r="R42" s="15"/>
      <c r="S42" s="26"/>
      <c r="Y42" s="31" t="s">
        <v>30</v>
      </c>
      <c r="Z42" s="27">
        <v>0.1</v>
      </c>
      <c r="AA42" s="21">
        <f>+Z15*Z42</f>
        <v>1500</v>
      </c>
      <c r="AC42" s="14" t="s">
        <v>102</v>
      </c>
      <c r="AD42" s="15"/>
      <c r="AE42" s="26"/>
    </row>
    <row r="43" spans="1:31" ht="12.75">
      <c r="A43" s="31" t="s">
        <v>16</v>
      </c>
      <c r="B43" s="27">
        <v>0.8</v>
      </c>
      <c r="C43" s="21">
        <f>+$B$15*B43</f>
        <v>5200</v>
      </c>
      <c r="E43" s="60" t="s">
        <v>1</v>
      </c>
      <c r="F43" s="19"/>
      <c r="G43" s="21">
        <f>900*SUM(F$25:F$29)</f>
        <v>9900</v>
      </c>
      <c r="M43" s="31" t="s">
        <v>16</v>
      </c>
      <c r="N43" s="27">
        <v>0.8</v>
      </c>
      <c r="O43" s="21">
        <f>+N15*N43</f>
        <v>6800</v>
      </c>
      <c r="Q43" s="60" t="s">
        <v>1</v>
      </c>
      <c r="R43" s="19"/>
      <c r="S43" s="21">
        <f>900*SUM(R$25:R$29)</f>
        <v>16200</v>
      </c>
      <c r="Y43" s="31" t="s">
        <v>16</v>
      </c>
      <c r="Z43" s="27">
        <v>0.8</v>
      </c>
      <c r="AA43" s="21">
        <f>+Z15*Z43</f>
        <v>12000</v>
      </c>
      <c r="AC43" s="60" t="s">
        <v>1</v>
      </c>
      <c r="AD43" s="19"/>
      <c r="AE43" s="21">
        <f>900*SUM(AD$25:AD$29)</f>
        <v>25200</v>
      </c>
    </row>
    <row r="44" spans="1:31" ht="12.75">
      <c r="A44" s="31" t="s">
        <v>23</v>
      </c>
      <c r="B44" s="27">
        <v>0.75</v>
      </c>
      <c r="C44" s="21">
        <f>+$B$15*B44</f>
        <v>4875</v>
      </c>
      <c r="E44" s="60" t="s">
        <v>106</v>
      </c>
      <c r="F44" s="19"/>
      <c r="G44" s="21">
        <f>500*SUM(F$25:F$29)</f>
        <v>5500</v>
      </c>
      <c r="M44" s="31" t="s">
        <v>23</v>
      </c>
      <c r="N44" s="27">
        <v>0.75</v>
      </c>
      <c r="O44" s="21">
        <f>+N15*N44</f>
        <v>6375</v>
      </c>
      <c r="Q44" s="60" t="s">
        <v>106</v>
      </c>
      <c r="R44" s="19"/>
      <c r="S44" s="21">
        <f>500*SUM(R$25:R$29)</f>
        <v>9000</v>
      </c>
      <c r="Y44" s="31" t="s">
        <v>23</v>
      </c>
      <c r="Z44" s="27">
        <v>0.75</v>
      </c>
      <c r="AA44" s="21">
        <f>+Z15*Z44</f>
        <v>11250</v>
      </c>
      <c r="AC44" s="60" t="s">
        <v>106</v>
      </c>
      <c r="AD44" s="19"/>
      <c r="AE44" s="21">
        <f>500*SUM(AD$25:AD$29)</f>
        <v>14000</v>
      </c>
    </row>
    <row r="45" spans="1:31" ht="12.75" customHeight="1">
      <c r="A45" s="31" t="s">
        <v>107</v>
      </c>
      <c r="B45" s="27">
        <v>0.75</v>
      </c>
      <c r="C45" s="21">
        <f>+$B$15*B45</f>
        <v>4875</v>
      </c>
      <c r="E45" s="60" t="s">
        <v>119</v>
      </c>
      <c r="F45" s="19"/>
      <c r="G45" s="21">
        <f>400*SUM(F$25:F$29)</f>
        <v>4400</v>
      </c>
      <c r="M45" s="31" t="s">
        <v>107</v>
      </c>
      <c r="N45" s="27">
        <v>0.75</v>
      </c>
      <c r="O45" s="21">
        <f>+N15*N45</f>
        <v>6375</v>
      </c>
      <c r="Q45" s="60" t="s">
        <v>119</v>
      </c>
      <c r="R45" s="19"/>
      <c r="S45" s="21">
        <f>400*SUM(R$25:R$29)</f>
        <v>7200</v>
      </c>
      <c r="Y45" s="31" t="s">
        <v>107</v>
      </c>
      <c r="Z45" s="27">
        <v>0.75</v>
      </c>
      <c r="AA45" s="21">
        <f>+Z15*Z45</f>
        <v>11250</v>
      </c>
      <c r="AC45" s="60" t="s">
        <v>119</v>
      </c>
      <c r="AD45" s="19"/>
      <c r="AE45" s="21">
        <f>400*SUM(AD$25:AD$29)</f>
        <v>11200</v>
      </c>
    </row>
    <row r="46" spans="1:31" ht="12.75" customHeight="1">
      <c r="A46" s="31" t="s">
        <v>63</v>
      </c>
      <c r="B46" s="27">
        <v>55</v>
      </c>
      <c r="C46" s="21">
        <f>+B14*B46</f>
        <v>23265</v>
      </c>
      <c r="E46" s="18" t="s">
        <v>103</v>
      </c>
      <c r="F46" s="19"/>
      <c r="G46" s="21">
        <f>1000*SUM(F$25:F$29)</f>
        <v>11000</v>
      </c>
      <c r="M46" s="31" t="s">
        <v>63</v>
      </c>
      <c r="N46" s="27">
        <v>8</v>
      </c>
      <c r="O46" s="21">
        <f>+N14*N46</f>
        <v>23640</v>
      </c>
      <c r="Q46" s="18" t="s">
        <v>103</v>
      </c>
      <c r="R46" s="19"/>
      <c r="S46" s="21">
        <f>1000*SUM(R$25:R$29)</f>
        <v>18000</v>
      </c>
      <c r="Y46" s="31" t="s">
        <v>63</v>
      </c>
      <c r="Z46" s="27">
        <v>8</v>
      </c>
      <c r="AA46" s="21">
        <f>+Z14*Z46</f>
        <v>57400</v>
      </c>
      <c r="AC46" s="18" t="s">
        <v>103</v>
      </c>
      <c r="AD46" s="19"/>
      <c r="AE46" s="21">
        <f>1000*SUM(AD$25:AD$29)</f>
        <v>28000</v>
      </c>
    </row>
    <row r="47" spans="1:31" ht="12.75" customHeight="1">
      <c r="A47" s="31" t="s">
        <v>121</v>
      </c>
      <c r="B47" s="27">
        <f>0.45*C7</f>
        <v>85.5</v>
      </c>
      <c r="C47" s="21">
        <f>+B$14*B47</f>
        <v>36166.5</v>
      </c>
      <c r="E47" s="18"/>
      <c r="F47" s="19"/>
      <c r="G47" s="28"/>
      <c r="M47" s="31" t="s">
        <v>121</v>
      </c>
      <c r="N47" s="27">
        <f>0.45*O7</f>
        <v>85.5</v>
      </c>
      <c r="O47" s="21">
        <f>+N$14*N47</f>
        <v>252652.5</v>
      </c>
      <c r="Q47" s="18"/>
      <c r="R47" s="19"/>
      <c r="S47" s="28"/>
      <c r="Y47" s="31" t="s">
        <v>121</v>
      </c>
      <c r="Z47" s="27">
        <f>0.45*AA7</f>
        <v>85.5</v>
      </c>
      <c r="AA47" s="21">
        <f>+Z$14*Z47</f>
        <v>613462.5</v>
      </c>
      <c r="AC47" s="18"/>
      <c r="AD47" s="19"/>
      <c r="AE47" s="28"/>
    </row>
    <row r="48" spans="1:31" ht="12.75">
      <c r="A48" s="31" t="s">
        <v>122</v>
      </c>
      <c r="B48" s="27">
        <v>1000</v>
      </c>
      <c r="C48" s="21">
        <f>+B$14*B48</f>
        <v>423000</v>
      </c>
      <c r="E48" s="23"/>
      <c r="F48" s="2"/>
      <c r="G48" s="25">
        <f>SUM(G43:G47)</f>
        <v>30800</v>
      </c>
      <c r="M48" s="31" t="s">
        <v>122</v>
      </c>
      <c r="N48" s="27">
        <v>1000</v>
      </c>
      <c r="O48" s="21">
        <f>+N$14*N48</f>
        <v>2955000</v>
      </c>
      <c r="Q48" s="23"/>
      <c r="R48" s="2"/>
      <c r="S48" s="25">
        <f>SUM(S43:S47)</f>
        <v>50400</v>
      </c>
      <c r="Y48" s="31" t="s">
        <v>122</v>
      </c>
      <c r="Z48" s="27">
        <v>1000</v>
      </c>
      <c r="AA48" s="21">
        <f>+Z$14*Z48</f>
        <v>7175000</v>
      </c>
      <c r="AC48" s="23"/>
      <c r="AD48" s="2"/>
      <c r="AE48" s="25">
        <f>SUM(AE43:AE47)</f>
        <v>78400</v>
      </c>
    </row>
    <row r="49" spans="1:27" ht="12.75">
      <c r="A49" s="33"/>
      <c r="B49" s="2"/>
      <c r="C49" s="25">
        <f>SUM(C42:C48)</f>
        <v>498031.5</v>
      </c>
      <c r="M49" s="33"/>
      <c r="N49" s="2"/>
      <c r="O49" s="25">
        <f>SUM(O42:O48)</f>
        <v>3251692.5</v>
      </c>
      <c r="Y49" s="33"/>
      <c r="Z49" s="2"/>
      <c r="AA49" s="25">
        <f>SUM(AA42:AA48)</f>
        <v>7881862.5</v>
      </c>
    </row>
    <row r="51" s="4" customFormat="1" ht="12.75"/>
    <row r="52" spans="1:25" ht="12.75">
      <c r="A52" s="5" t="s">
        <v>28</v>
      </c>
      <c r="M52" s="5" t="s">
        <v>28</v>
      </c>
      <c r="Y52" s="5" t="s">
        <v>28</v>
      </c>
    </row>
    <row r="54" spans="1:25" ht="12.75">
      <c r="A54" s="1" t="s">
        <v>31</v>
      </c>
      <c r="M54" s="1" t="s">
        <v>31</v>
      </c>
      <c r="Y54" s="1" t="s">
        <v>31</v>
      </c>
    </row>
    <row r="55" spans="1:26" ht="12.75">
      <c r="A55" s="9" t="s">
        <v>29</v>
      </c>
      <c r="B55">
        <v>25</v>
      </c>
      <c r="M55" s="9" t="s">
        <v>29</v>
      </c>
      <c r="N55" s="11">
        <f>+P197</f>
        <v>55</v>
      </c>
      <c r="Y55" s="9" t="s">
        <v>29</v>
      </c>
      <c r="Z55" s="11">
        <f>+AB197</f>
        <v>105</v>
      </c>
    </row>
    <row r="56" spans="1:27" ht="12.75">
      <c r="A56" s="9" t="s">
        <v>8</v>
      </c>
      <c r="B56" s="11">
        <f>+B55*C56</f>
        <v>37500</v>
      </c>
      <c r="C56" s="7">
        <f>25*60</f>
        <v>1500</v>
      </c>
      <c r="M56" s="9" t="s">
        <v>8</v>
      </c>
      <c r="N56" s="11">
        <f>+N55*O56</f>
        <v>82500</v>
      </c>
      <c r="O56" s="7">
        <f>25*60</f>
        <v>1500</v>
      </c>
      <c r="Y56" s="9" t="s">
        <v>8</v>
      </c>
      <c r="Z56" s="11">
        <f>+Z55*AA56</f>
        <v>157500</v>
      </c>
      <c r="AA56" s="7">
        <f>25*60</f>
        <v>1500</v>
      </c>
    </row>
    <row r="57" spans="1:35" ht="12.75">
      <c r="A57" s="9" t="s">
        <v>11</v>
      </c>
      <c r="B57" s="3">
        <f>+C72</f>
        <v>32239.212500000005</v>
      </c>
      <c r="K57" s="3">
        <f>+B64</f>
        <v>1417437.3375000001</v>
      </c>
      <c r="M57" s="9" t="s">
        <v>11</v>
      </c>
      <c r="N57" s="3">
        <f>+O72</f>
        <v>70926.26750000002</v>
      </c>
      <c r="W57" s="3">
        <f>+N64</f>
        <v>2681017.4425</v>
      </c>
      <c r="Y57" s="9" t="s">
        <v>11</v>
      </c>
      <c r="Z57" s="3">
        <f>+AA72</f>
        <v>135404.69250000003</v>
      </c>
      <c r="AI57" s="3">
        <f>+Z64</f>
        <v>4835319.1175</v>
      </c>
    </row>
    <row r="58" spans="1:34" ht="12.75">
      <c r="A58" s="9" t="s">
        <v>17</v>
      </c>
      <c r="B58" s="3">
        <f>+B55*C84</f>
        <v>492000</v>
      </c>
      <c r="G58" t="s">
        <v>90</v>
      </c>
      <c r="I58" s="51"/>
      <c r="J58" s="8">
        <f>+K57/B55</f>
        <v>56697.493500000004</v>
      </c>
      <c r="M58" s="9" t="s">
        <v>17</v>
      </c>
      <c r="N58" s="3">
        <f>+N55*O84</f>
        <v>987937.5</v>
      </c>
      <c r="S58" t="s">
        <v>90</v>
      </c>
      <c r="U58" s="51"/>
      <c r="V58" s="8">
        <f>+W57/N55</f>
        <v>48745.77168181818</v>
      </c>
      <c r="Y58" s="9" t="s">
        <v>17</v>
      </c>
      <c r="Z58" s="3">
        <f>+Z55*AA84</f>
        <v>1886062.5</v>
      </c>
      <c r="AE58" t="s">
        <v>90</v>
      </c>
      <c r="AG58" s="51"/>
      <c r="AH58" s="8">
        <f>+AI57/Z55</f>
        <v>46050.65826190476</v>
      </c>
    </row>
    <row r="59" spans="1:34" ht="12.75">
      <c r="A59" s="9" t="s">
        <v>18</v>
      </c>
      <c r="B59" s="3">
        <f>+B55*G68</f>
        <v>131250</v>
      </c>
      <c r="G59" t="s">
        <v>91</v>
      </c>
      <c r="J59" s="56">
        <f>-(B62+0.4*B146)/B55</f>
        <v>-13159.685000000003</v>
      </c>
      <c r="M59" s="9" t="s">
        <v>18</v>
      </c>
      <c r="N59" s="3">
        <f>+N55*S68</f>
        <v>144650</v>
      </c>
      <c r="S59" t="s">
        <v>91</v>
      </c>
      <c r="V59" s="56">
        <f>-(N62+0.4*N146)/N55</f>
        <v>-13075.685000000001</v>
      </c>
      <c r="Y59" s="9" t="s">
        <v>18</v>
      </c>
      <c r="Z59" s="3">
        <f>+Z55*AE68</f>
        <v>276150</v>
      </c>
      <c r="AE59" t="s">
        <v>91</v>
      </c>
      <c r="AH59" s="56">
        <f>-(Z62+0.4*Z146)/Z55</f>
        <v>-13052.82785714286</v>
      </c>
    </row>
    <row r="60" spans="1:34" ht="12.75">
      <c r="A60" s="9" t="s">
        <v>41</v>
      </c>
      <c r="B60" s="3">
        <f>+G79</f>
        <v>153000</v>
      </c>
      <c r="G60" t="s">
        <v>92</v>
      </c>
      <c r="J60" s="8">
        <f>SUM(J58:J59)</f>
        <v>43537.8085</v>
      </c>
      <c r="M60" s="9" t="s">
        <v>41</v>
      </c>
      <c r="N60" s="3">
        <f>+S79</f>
        <v>309000</v>
      </c>
      <c r="S60" t="s">
        <v>92</v>
      </c>
      <c r="V60" s="8">
        <f>SUM(V58:V59)</f>
        <v>35670.08668181818</v>
      </c>
      <c r="Y60" s="9" t="s">
        <v>41</v>
      </c>
      <c r="Z60" s="3">
        <f>+AE79</f>
        <v>527000</v>
      </c>
      <c r="AE60" t="s">
        <v>92</v>
      </c>
      <c r="AH60" s="8">
        <f>SUM(AH58:AH59)</f>
        <v>32997.8304047619</v>
      </c>
    </row>
    <row r="61" spans="1:26" ht="12.75">
      <c r="A61" s="9" t="s">
        <v>24</v>
      </c>
      <c r="B61" s="8">
        <f>+B60*0.25</f>
        <v>38250</v>
      </c>
      <c r="M61" s="9" t="s">
        <v>24</v>
      </c>
      <c r="N61" s="8">
        <f>+N60*0.25</f>
        <v>77250</v>
      </c>
      <c r="Y61" s="9" t="s">
        <v>24</v>
      </c>
      <c r="Z61" s="8">
        <f>+Z60*0.25</f>
        <v>131750</v>
      </c>
    </row>
    <row r="62" spans="1:31" ht="12.75">
      <c r="A62" s="9" t="s">
        <v>25</v>
      </c>
      <c r="B62" s="8">
        <f>+G83/20+G84/5</f>
        <v>322392.12500000006</v>
      </c>
      <c r="E62" s="14" t="s">
        <v>19</v>
      </c>
      <c r="F62" s="15"/>
      <c r="G62" s="26"/>
      <c r="M62" s="9" t="s">
        <v>25</v>
      </c>
      <c r="N62" s="8">
        <f>+S83/20+S84/5</f>
        <v>709262.675</v>
      </c>
      <c r="Q62" s="14" t="s">
        <v>19</v>
      </c>
      <c r="R62" s="15"/>
      <c r="S62" s="26"/>
      <c r="Y62" s="9" t="s">
        <v>25</v>
      </c>
      <c r="Z62" s="8">
        <f>+AE83/20+AE84/5</f>
        <v>1354046.9250000003</v>
      </c>
      <c r="AC62" s="14" t="s">
        <v>19</v>
      </c>
      <c r="AD62" s="15"/>
      <c r="AE62" s="26"/>
    </row>
    <row r="63" spans="1:31" ht="12.75">
      <c r="A63" s="9" t="s">
        <v>75</v>
      </c>
      <c r="B63" s="35">
        <f>+B152*0.4</f>
        <v>248306</v>
      </c>
      <c r="E63" s="18" t="s">
        <v>20</v>
      </c>
      <c r="F63" s="27">
        <v>1</v>
      </c>
      <c r="G63" s="21">
        <f>+$C$56*F63</f>
        <v>1500</v>
      </c>
      <c r="M63" s="9" t="s">
        <v>75</v>
      </c>
      <c r="N63" s="35">
        <f>+N152*0.4</f>
        <v>381991</v>
      </c>
      <c r="Q63" s="18" t="s">
        <v>20</v>
      </c>
      <c r="R63" s="27">
        <v>1</v>
      </c>
      <c r="S63" s="21">
        <f>+O56*R63</f>
        <v>1500</v>
      </c>
      <c r="Y63" s="9" t="s">
        <v>75</v>
      </c>
      <c r="Z63" s="35">
        <f>+Z152*0.4</f>
        <v>524905</v>
      </c>
      <c r="AC63" s="18" t="s">
        <v>20</v>
      </c>
      <c r="AD63" s="27">
        <v>1</v>
      </c>
      <c r="AE63" s="21">
        <f>+AA56*AD63</f>
        <v>1500</v>
      </c>
    </row>
    <row r="64" spans="1:31" ht="12.75">
      <c r="A64" s="9"/>
      <c r="B64" s="8">
        <f>SUM(B57:B63)</f>
        <v>1417437.3375000001</v>
      </c>
      <c r="E64" s="18" t="s">
        <v>21</v>
      </c>
      <c r="F64" s="27">
        <v>2</v>
      </c>
      <c r="G64" s="21">
        <f>+$C$56*F64</f>
        <v>3000</v>
      </c>
      <c r="M64" s="9"/>
      <c r="N64" s="8">
        <f>SUM(N57:N63)</f>
        <v>2681017.4425</v>
      </c>
      <c r="Q64" s="18" t="s">
        <v>21</v>
      </c>
      <c r="R64" s="27">
        <v>2</v>
      </c>
      <c r="S64" s="21">
        <f>O7*R64</f>
        <v>380</v>
      </c>
      <c r="Y64" s="9"/>
      <c r="Z64" s="8">
        <f>SUM(Z57:Z63)</f>
        <v>4835319.1175</v>
      </c>
      <c r="AC64" s="18" t="s">
        <v>21</v>
      </c>
      <c r="AD64" s="27">
        <v>2</v>
      </c>
      <c r="AE64" s="21">
        <f>AA7*AD64</f>
        <v>380</v>
      </c>
    </row>
    <row r="65" spans="5:31" ht="12.75">
      <c r="E65" s="18" t="s">
        <v>2</v>
      </c>
      <c r="F65" s="27"/>
      <c r="G65" s="21">
        <f>+$C$56*F65</f>
        <v>0</v>
      </c>
      <c r="Q65" s="18" t="s">
        <v>2</v>
      </c>
      <c r="R65" s="27"/>
      <c r="S65" s="21">
        <f>+O56*R65</f>
        <v>0</v>
      </c>
      <c r="AC65" s="18" t="s">
        <v>2</v>
      </c>
      <c r="AD65" s="27"/>
      <c r="AE65" s="21">
        <f>+AA56*AD65</f>
        <v>0</v>
      </c>
    </row>
    <row r="66" spans="1:35" ht="12.75">
      <c r="A66" s="14" t="s">
        <v>14</v>
      </c>
      <c r="B66" s="16"/>
      <c r="C66" s="17"/>
      <c r="D66" s="40"/>
      <c r="E66" s="18" t="s">
        <v>22</v>
      </c>
      <c r="F66" s="27">
        <v>0.5</v>
      </c>
      <c r="G66" s="21">
        <f>+$C$56*F66</f>
        <v>750</v>
      </c>
      <c r="K66" s="19"/>
      <c r="L66" s="53"/>
      <c r="M66" s="14" t="s">
        <v>14</v>
      </c>
      <c r="N66" s="16"/>
      <c r="O66" s="17"/>
      <c r="P66" s="40"/>
      <c r="Q66" s="18" t="s">
        <v>22</v>
      </c>
      <c r="R66" s="27">
        <v>0.5</v>
      </c>
      <c r="S66" s="21">
        <f>+O56*R66</f>
        <v>750</v>
      </c>
      <c r="W66" s="19"/>
      <c r="Y66" s="14" t="s">
        <v>14</v>
      </c>
      <c r="Z66" s="16"/>
      <c r="AA66" s="17"/>
      <c r="AB66" s="40"/>
      <c r="AC66" s="18" t="s">
        <v>22</v>
      </c>
      <c r="AD66" s="27">
        <v>0.5</v>
      </c>
      <c r="AE66" s="21">
        <f>+AA56*AD66</f>
        <v>750</v>
      </c>
      <c r="AI66" s="19"/>
    </row>
    <row r="67" spans="1:35" ht="12.75">
      <c r="A67" s="18" t="s">
        <v>65</v>
      </c>
      <c r="B67" s="45">
        <v>234467</v>
      </c>
      <c r="C67" s="73">
        <f>+B$55*B67*1.1</f>
        <v>6447842.500000001</v>
      </c>
      <c r="D67" s="45"/>
      <c r="E67" s="18"/>
      <c r="F67" s="19"/>
      <c r="G67" s="28"/>
      <c r="K67" s="19"/>
      <c r="L67" s="70"/>
      <c r="M67" s="18" t="s">
        <v>65</v>
      </c>
      <c r="N67" s="45">
        <v>234467</v>
      </c>
      <c r="O67" s="73">
        <f>+N$55*N67*1.1</f>
        <v>14185253.500000002</v>
      </c>
      <c r="P67" s="45"/>
      <c r="Q67" s="18"/>
      <c r="R67" s="19"/>
      <c r="S67" s="28"/>
      <c r="W67" s="19"/>
      <c r="Y67" s="18" t="s">
        <v>65</v>
      </c>
      <c r="Z67" s="45">
        <v>234467</v>
      </c>
      <c r="AA67" s="73">
        <f>+Z$55*Z67*1.1</f>
        <v>27080938.500000004</v>
      </c>
      <c r="AB67" s="45"/>
      <c r="AC67" s="18"/>
      <c r="AD67" s="19"/>
      <c r="AE67" s="28"/>
      <c r="AI67" s="19"/>
    </row>
    <row r="68" spans="1:31" ht="12.75">
      <c r="A68" s="18"/>
      <c r="B68" s="45"/>
      <c r="C68" s="28"/>
      <c r="D68" s="45"/>
      <c r="E68" s="23" t="s">
        <v>64</v>
      </c>
      <c r="F68" s="2"/>
      <c r="G68" s="25">
        <f>SUM(G63:G67)</f>
        <v>5250</v>
      </c>
      <c r="M68" s="18"/>
      <c r="N68" s="45"/>
      <c r="O68" s="28"/>
      <c r="P68" s="45"/>
      <c r="Q68" s="23" t="s">
        <v>64</v>
      </c>
      <c r="R68" s="2"/>
      <c r="S68" s="25">
        <f>SUM(S63:S67)</f>
        <v>2630</v>
      </c>
      <c r="Y68" s="18"/>
      <c r="Z68" s="45"/>
      <c r="AA68" s="28"/>
      <c r="AB68" s="45"/>
      <c r="AC68" s="23" t="s">
        <v>64</v>
      </c>
      <c r="AD68" s="2"/>
      <c r="AE68" s="25">
        <f>SUM(AE63:AE67)</f>
        <v>2630</v>
      </c>
    </row>
    <row r="69" spans="1:31" ht="12.75">
      <c r="A69" s="18"/>
      <c r="B69" s="20"/>
      <c r="C69" s="21"/>
      <c r="D69" s="20"/>
      <c r="E69" s="19"/>
      <c r="F69" s="19"/>
      <c r="G69" s="19"/>
      <c r="M69" s="18"/>
      <c r="N69" s="20"/>
      <c r="O69" s="21"/>
      <c r="P69" s="20"/>
      <c r="Q69" s="19"/>
      <c r="R69" s="19"/>
      <c r="S69" s="19"/>
      <c r="Y69" s="18"/>
      <c r="Z69" s="20"/>
      <c r="AA69" s="21"/>
      <c r="AB69" s="20"/>
      <c r="AC69" s="19"/>
      <c r="AD69" s="19"/>
      <c r="AE69" s="19"/>
    </row>
    <row r="70" spans="1:31" ht="12.75">
      <c r="A70" s="18"/>
      <c r="B70" s="20"/>
      <c r="C70" s="21"/>
      <c r="D70" s="20"/>
      <c r="E70" s="14" t="s">
        <v>40</v>
      </c>
      <c r="F70" s="15"/>
      <c r="G70" s="26"/>
      <c r="M70" s="18"/>
      <c r="N70" s="20"/>
      <c r="O70" s="21"/>
      <c r="P70" s="20"/>
      <c r="Q70" s="14" t="s">
        <v>40</v>
      </c>
      <c r="R70" s="15"/>
      <c r="S70" s="26"/>
      <c r="Y70" s="18"/>
      <c r="Z70" s="20"/>
      <c r="AA70" s="21"/>
      <c r="AB70" s="20"/>
      <c r="AC70" s="14" t="s">
        <v>40</v>
      </c>
      <c r="AD70" s="15"/>
      <c r="AE70" s="26"/>
    </row>
    <row r="71" spans="1:31" ht="12.75">
      <c r="A71" s="18"/>
      <c r="B71" s="19"/>
      <c r="C71" s="21">
        <f>SUM(C67:C70)</f>
        <v>6447842.500000001</v>
      </c>
      <c r="D71" s="19"/>
      <c r="E71" s="18" t="s">
        <v>114</v>
      </c>
      <c r="F71" s="19">
        <f>+B202</f>
        <v>1</v>
      </c>
      <c r="G71" s="46">
        <f>+D202</f>
        <v>75000</v>
      </c>
      <c r="M71" s="18"/>
      <c r="N71" s="19"/>
      <c r="O71" s="21">
        <f>SUM(O67:O70)</f>
        <v>14185253.500000002</v>
      </c>
      <c r="P71" s="19"/>
      <c r="Q71" s="18" t="s">
        <v>114</v>
      </c>
      <c r="R71" s="19">
        <f>+N202</f>
        <v>1</v>
      </c>
      <c r="S71" s="46">
        <f>+P202</f>
        <v>100000</v>
      </c>
      <c r="Y71" s="18"/>
      <c r="Z71" s="19"/>
      <c r="AA71" s="21">
        <f>SUM(AA67:AA70)</f>
        <v>27080938.500000004</v>
      </c>
      <c r="AB71" s="19"/>
      <c r="AC71" s="18" t="s">
        <v>114</v>
      </c>
      <c r="AD71" s="19">
        <f>+Z202</f>
        <v>1</v>
      </c>
      <c r="AE71" s="46">
        <f>+AB202</f>
        <v>100000</v>
      </c>
    </row>
    <row r="72" spans="1:31" ht="12.75">
      <c r="A72" s="23" t="s">
        <v>105</v>
      </c>
      <c r="B72" s="24">
        <v>0.005</v>
      </c>
      <c r="C72" s="25">
        <f>+C71*B72</f>
        <v>32239.212500000005</v>
      </c>
      <c r="D72" s="20"/>
      <c r="E72" s="18" t="s">
        <v>115</v>
      </c>
      <c r="F72" s="19">
        <f>+B203</f>
        <v>1</v>
      </c>
      <c r="G72" s="46">
        <f>+D203</f>
        <v>60000</v>
      </c>
      <c r="M72" s="23" t="s">
        <v>105</v>
      </c>
      <c r="N72" s="24">
        <v>0.005</v>
      </c>
      <c r="O72" s="25">
        <f>+O71*N72</f>
        <v>70926.26750000002</v>
      </c>
      <c r="P72" s="20"/>
      <c r="Q72" s="18" t="s">
        <v>115</v>
      </c>
      <c r="R72" s="19">
        <f>+N203</f>
        <v>2</v>
      </c>
      <c r="S72" s="46">
        <f>+P203</f>
        <v>120000</v>
      </c>
      <c r="Y72" s="23" t="s">
        <v>105</v>
      </c>
      <c r="Z72" s="24">
        <v>0.005</v>
      </c>
      <c r="AA72" s="25">
        <f>+AA71*Z72</f>
        <v>135404.69250000003</v>
      </c>
      <c r="AB72" s="20"/>
      <c r="AC72" s="18" t="s">
        <v>115</v>
      </c>
      <c r="AD72" s="19">
        <f>+Z203</f>
        <v>3</v>
      </c>
      <c r="AE72" s="46">
        <f>+AB203</f>
        <v>180000</v>
      </c>
    </row>
    <row r="73" spans="3:31" ht="12.75">
      <c r="C73" s="58"/>
      <c r="D73" s="45"/>
      <c r="E73" s="18" t="s">
        <v>34</v>
      </c>
      <c r="F73" s="19">
        <f>+B204</f>
        <v>6</v>
      </c>
      <c r="G73" s="46">
        <f>+D204</f>
        <v>270000</v>
      </c>
      <c r="O73" s="58"/>
      <c r="P73" s="45"/>
      <c r="Q73" s="18" t="s">
        <v>34</v>
      </c>
      <c r="R73" s="19">
        <f>+N204</f>
        <v>9</v>
      </c>
      <c r="S73" s="46">
        <f>+P204</f>
        <v>405000</v>
      </c>
      <c r="AA73" s="58"/>
      <c r="AB73" s="45"/>
      <c r="AC73" s="18" t="s">
        <v>34</v>
      </c>
      <c r="AD73" s="19">
        <f>+Z204</f>
        <v>15</v>
      </c>
      <c r="AE73" s="46">
        <f>+AB204</f>
        <v>675000</v>
      </c>
    </row>
    <row r="74" spans="3:31" ht="12.75">
      <c r="C74" s="58"/>
      <c r="D74" s="19"/>
      <c r="E74" s="18" t="s">
        <v>113</v>
      </c>
      <c r="F74" s="19">
        <f>+B205</f>
        <v>1</v>
      </c>
      <c r="G74" s="46">
        <f>+D205</f>
        <v>60000</v>
      </c>
      <c r="O74" s="58"/>
      <c r="P74" s="19"/>
      <c r="Q74" s="18" t="s">
        <v>113</v>
      </c>
      <c r="R74" s="19">
        <f>+N205</f>
        <v>2</v>
      </c>
      <c r="S74" s="46">
        <f>+P205</f>
        <v>120000</v>
      </c>
      <c r="AA74" s="58"/>
      <c r="AB74" s="19"/>
      <c r="AC74" s="18" t="s">
        <v>113</v>
      </c>
      <c r="AD74" s="19">
        <f>+Z205</f>
        <v>3</v>
      </c>
      <c r="AE74" s="46">
        <f>+AB205</f>
        <v>180000</v>
      </c>
    </row>
    <row r="75" spans="5:31" ht="12.75">
      <c r="E75" s="18" t="s">
        <v>116</v>
      </c>
      <c r="F75" s="19">
        <f>+B206</f>
        <v>2</v>
      </c>
      <c r="G75" s="46">
        <f>+D206</f>
        <v>100000</v>
      </c>
      <c r="Q75" s="18" t="s">
        <v>116</v>
      </c>
      <c r="R75" s="19">
        <f>+N206</f>
        <v>4</v>
      </c>
      <c r="S75" s="46">
        <f>+P206</f>
        <v>200000</v>
      </c>
      <c r="AC75" s="18" t="s">
        <v>116</v>
      </c>
      <c r="AD75" s="19">
        <f>+Z206</f>
        <v>6</v>
      </c>
      <c r="AE75" s="46">
        <f>+AB206</f>
        <v>300000</v>
      </c>
    </row>
    <row r="76" spans="1:31" ht="12.75">
      <c r="A76" s="30" t="s">
        <v>15</v>
      </c>
      <c r="B76" s="15"/>
      <c r="C76" s="26"/>
      <c r="E76" s="18" t="s">
        <v>60</v>
      </c>
      <c r="F76" s="19"/>
      <c r="G76" s="36">
        <v>0.2</v>
      </c>
      <c r="M76" s="30" t="s">
        <v>15</v>
      </c>
      <c r="N76" s="15"/>
      <c r="O76" s="26"/>
      <c r="Q76" s="18" t="s">
        <v>60</v>
      </c>
      <c r="R76" s="19"/>
      <c r="S76" s="36">
        <v>0.2</v>
      </c>
      <c r="Y76" s="30" t="s">
        <v>15</v>
      </c>
      <c r="Z76" s="15"/>
      <c r="AA76" s="26"/>
      <c r="AC76" s="18" t="s">
        <v>60</v>
      </c>
      <c r="AD76" s="19"/>
      <c r="AE76" s="36">
        <v>0.2</v>
      </c>
    </row>
    <row r="77" spans="1:31" ht="12.75">
      <c r="A77" s="31" t="s">
        <v>30</v>
      </c>
      <c r="B77" s="27">
        <v>0.1</v>
      </c>
      <c r="C77" s="21">
        <f>+C$56*B77</f>
        <v>150</v>
      </c>
      <c r="E77" s="18"/>
      <c r="F77" s="19"/>
      <c r="G77" s="28">
        <f>SUM(G71:G75)*G76</f>
        <v>113000</v>
      </c>
      <c r="M77" s="31" t="s">
        <v>30</v>
      </c>
      <c r="N77" s="27">
        <v>0.1</v>
      </c>
      <c r="O77" s="21">
        <f>+O$56*N77</f>
        <v>150</v>
      </c>
      <c r="Q77" s="18"/>
      <c r="R77" s="19"/>
      <c r="S77" s="28">
        <f>SUM(S71:S75)*S76</f>
        <v>189000</v>
      </c>
      <c r="Y77" s="31" t="s">
        <v>30</v>
      </c>
      <c r="Z77" s="27">
        <v>0.1</v>
      </c>
      <c r="AA77" s="21">
        <f>+AA$56*Z77</f>
        <v>150</v>
      </c>
      <c r="AC77" s="18"/>
      <c r="AD77" s="19"/>
      <c r="AE77" s="28">
        <f>SUM(AE71:AE75)*AE76</f>
        <v>287000</v>
      </c>
    </row>
    <row r="78" spans="1:31" ht="12.75">
      <c r="A78" s="31" t="s">
        <v>16</v>
      </c>
      <c r="B78" s="27">
        <v>0.3</v>
      </c>
      <c r="C78" s="21">
        <f>+C$56*B78</f>
        <v>450</v>
      </c>
      <c r="E78" s="18" t="s">
        <v>111</v>
      </c>
      <c r="F78" s="19">
        <f>+B207</f>
        <v>1</v>
      </c>
      <c r="G78" s="48">
        <f>+D207</f>
        <v>40000</v>
      </c>
      <c r="M78" s="31" t="s">
        <v>16</v>
      </c>
      <c r="N78" s="27">
        <v>0.3</v>
      </c>
      <c r="O78" s="21">
        <f>+O$56*N78</f>
        <v>450</v>
      </c>
      <c r="Q78" s="18" t="s">
        <v>111</v>
      </c>
      <c r="R78" s="19">
        <f>+N207</f>
        <v>3</v>
      </c>
      <c r="S78" s="48">
        <f>+P207</f>
        <v>120000</v>
      </c>
      <c r="Y78" s="31" t="s">
        <v>16</v>
      </c>
      <c r="Z78" s="27">
        <v>0.3</v>
      </c>
      <c r="AA78" s="21">
        <f>+AA$56*Z78</f>
        <v>450</v>
      </c>
      <c r="AC78" s="18" t="s">
        <v>111</v>
      </c>
      <c r="AD78" s="19">
        <f>+Z207</f>
        <v>6</v>
      </c>
      <c r="AE78" s="48">
        <f>+AB207</f>
        <v>240000</v>
      </c>
    </row>
    <row r="79" spans="1:31" ht="12.75">
      <c r="A79" s="31" t="s">
        <v>23</v>
      </c>
      <c r="B79" s="27">
        <v>0.12</v>
      </c>
      <c r="C79" s="21">
        <f>+C$56*B79</f>
        <v>180</v>
      </c>
      <c r="E79" s="23"/>
      <c r="F79" s="2"/>
      <c r="G79" s="41">
        <f>SUM(G77:G78)</f>
        <v>153000</v>
      </c>
      <c r="M79" s="31" t="s">
        <v>23</v>
      </c>
      <c r="N79" s="27">
        <v>0.12</v>
      </c>
      <c r="O79" s="21">
        <f>+O$56*N79</f>
        <v>180</v>
      </c>
      <c r="Q79" s="23"/>
      <c r="R79" s="2"/>
      <c r="S79" s="41">
        <f>SUM(S77:S78)</f>
        <v>309000</v>
      </c>
      <c r="Y79" s="31" t="s">
        <v>23</v>
      </c>
      <c r="Z79" s="27">
        <v>0.12</v>
      </c>
      <c r="AA79" s="21">
        <f>+AA$56*Z79</f>
        <v>180</v>
      </c>
      <c r="AC79" s="23"/>
      <c r="AD79" s="2"/>
      <c r="AE79" s="41">
        <f>SUM(AE77:AE78)</f>
        <v>527000</v>
      </c>
    </row>
    <row r="80" spans="1:27" ht="12.75">
      <c r="A80" s="31" t="s">
        <v>1</v>
      </c>
      <c r="B80" s="27">
        <v>0.3</v>
      </c>
      <c r="C80" s="21">
        <f>+C$56*B80</f>
        <v>450</v>
      </c>
      <c r="M80" s="31" t="s">
        <v>1</v>
      </c>
      <c r="N80" s="27">
        <v>0.3</v>
      </c>
      <c r="O80" s="21">
        <f>+O$56*N80</f>
        <v>450</v>
      </c>
      <c r="Y80" s="31" t="s">
        <v>1</v>
      </c>
      <c r="Z80" s="27">
        <v>0.3</v>
      </c>
      <c r="AA80" s="21">
        <f>+AA$56*Z80</f>
        <v>450</v>
      </c>
    </row>
    <row r="81" spans="1:27" ht="12.75">
      <c r="A81" s="31" t="s">
        <v>63</v>
      </c>
      <c r="B81" s="62">
        <v>1.35</v>
      </c>
      <c r="C81" s="21">
        <f>+C$56*B81</f>
        <v>2025.0000000000002</v>
      </c>
      <c r="M81" s="31" t="s">
        <v>63</v>
      </c>
      <c r="N81" s="62">
        <v>1.3</v>
      </c>
      <c r="O81" s="21">
        <f>+O$56*N81</f>
        <v>1950</v>
      </c>
      <c r="Y81" s="31" t="s">
        <v>63</v>
      </c>
      <c r="Z81" s="62">
        <v>1.3</v>
      </c>
      <c r="AA81" s="21">
        <f>+AA$56*Z81</f>
        <v>1950</v>
      </c>
    </row>
    <row r="82" spans="1:31" ht="12.75">
      <c r="A82" s="31" t="s">
        <v>81</v>
      </c>
      <c r="B82" s="49">
        <v>0.03</v>
      </c>
      <c r="C82" s="28">
        <f>+C56*B82*365</f>
        <v>16425</v>
      </c>
      <c r="E82" s="14" t="s">
        <v>26</v>
      </c>
      <c r="F82" s="15"/>
      <c r="G82" s="26"/>
      <c r="M82" s="31" t="s">
        <v>81</v>
      </c>
      <c r="N82" s="49">
        <v>0.027</v>
      </c>
      <c r="O82" s="28">
        <f>+O56*N82*365</f>
        <v>14782.5</v>
      </c>
      <c r="Q82" s="14" t="s">
        <v>26</v>
      </c>
      <c r="R82" s="15"/>
      <c r="S82" s="26"/>
      <c r="Y82" s="31" t="s">
        <v>81</v>
      </c>
      <c r="Z82" s="49">
        <v>0.027</v>
      </c>
      <c r="AA82" s="28">
        <f>+AA56*Z82*365</f>
        <v>14782.5</v>
      </c>
      <c r="AC82" s="14" t="s">
        <v>26</v>
      </c>
      <c r="AD82" s="15"/>
      <c r="AE82" s="26"/>
    </row>
    <row r="83" spans="1:31" ht="12.75">
      <c r="A83" s="32"/>
      <c r="B83" s="19"/>
      <c r="C83" s="22"/>
      <c r="E83" s="18" t="str">
        <f>+A67</f>
        <v>Station Value</v>
      </c>
      <c r="F83" s="19"/>
      <c r="G83" s="46">
        <f>+C67</f>
        <v>6447842.500000001</v>
      </c>
      <c r="M83" s="32"/>
      <c r="N83" s="19"/>
      <c r="O83" s="22"/>
      <c r="Q83" s="18" t="str">
        <f>+M67</f>
        <v>Station Value</v>
      </c>
      <c r="R83" s="19"/>
      <c r="S83" s="46">
        <f>+O67</f>
        <v>14185253.500000002</v>
      </c>
      <c r="Y83" s="32"/>
      <c r="Z83" s="19"/>
      <c r="AA83" s="22"/>
      <c r="AC83" s="18" t="str">
        <f>+Y67</f>
        <v>Station Value</v>
      </c>
      <c r="AD83" s="19"/>
      <c r="AE83" s="46">
        <f>+AA67</f>
        <v>27080938.500000004</v>
      </c>
    </row>
    <row r="84" spans="1:31" ht="12.75">
      <c r="A84" s="44" t="s">
        <v>64</v>
      </c>
      <c r="B84" s="2"/>
      <c r="C84" s="25">
        <f>SUM(C77:C83)</f>
        <v>19680</v>
      </c>
      <c r="E84" s="18"/>
      <c r="F84" s="19"/>
      <c r="G84" s="46"/>
      <c r="M84" s="44" t="s">
        <v>64</v>
      </c>
      <c r="N84" s="2"/>
      <c r="O84" s="25">
        <f>SUM(O77:O83)</f>
        <v>17962.5</v>
      </c>
      <c r="Q84" s="18"/>
      <c r="R84" s="19"/>
      <c r="S84" s="46"/>
      <c r="Y84" s="44" t="s">
        <v>64</v>
      </c>
      <c r="Z84" s="2"/>
      <c r="AA84" s="25">
        <f>SUM(AA77:AA83)</f>
        <v>17962.5</v>
      </c>
      <c r="AC84" s="18"/>
      <c r="AD84" s="19"/>
      <c r="AE84" s="46"/>
    </row>
    <row r="85" spans="5:31" ht="12.75">
      <c r="E85" s="18"/>
      <c r="F85" s="19"/>
      <c r="G85" s="22"/>
      <c r="Q85" s="18"/>
      <c r="R85" s="19"/>
      <c r="S85" s="22"/>
      <c r="AC85" s="18"/>
      <c r="AD85" s="19"/>
      <c r="AE85" s="22"/>
    </row>
    <row r="86" spans="5:31" ht="12.75">
      <c r="E86" s="23"/>
      <c r="F86" s="2"/>
      <c r="G86" s="25">
        <f>SUM(G83:G85)</f>
        <v>6447842.500000001</v>
      </c>
      <c r="Q86" s="23"/>
      <c r="R86" s="2"/>
      <c r="S86" s="25">
        <f>SUM(S83:S85)</f>
        <v>14185253.500000002</v>
      </c>
      <c r="AC86" s="23"/>
      <c r="AD86" s="2"/>
      <c r="AE86" s="25">
        <f>SUM(AE83:AE85)</f>
        <v>27080938.500000004</v>
      </c>
    </row>
    <row r="88" s="4" customFormat="1" ht="12.75"/>
    <row r="89" spans="1:25" ht="12.75">
      <c r="A89" s="5" t="s">
        <v>58</v>
      </c>
      <c r="M89" s="5" t="s">
        <v>58</v>
      </c>
      <c r="Y89" s="5" t="s">
        <v>58</v>
      </c>
    </row>
    <row r="91" spans="1:26" ht="12.75">
      <c r="A91" s="9" t="s">
        <v>67</v>
      </c>
      <c r="B91" s="7">
        <v>10</v>
      </c>
      <c r="M91" s="9" t="s">
        <v>67</v>
      </c>
      <c r="N91" s="7">
        <f>+P198</f>
        <v>25</v>
      </c>
      <c r="Y91" s="9" t="s">
        <v>67</v>
      </c>
      <c r="Z91" s="7">
        <f>+AB198</f>
        <v>50</v>
      </c>
    </row>
    <row r="92" spans="1:35" ht="12.75">
      <c r="A92" s="9" t="s">
        <v>11</v>
      </c>
      <c r="B92" s="3">
        <f>+D114</f>
        <v>67417.37</v>
      </c>
      <c r="K92" s="3">
        <f>+B100</f>
        <v>2102603.12</v>
      </c>
      <c r="M92" s="9" t="s">
        <v>11</v>
      </c>
      <c r="N92" s="3">
        <f>+P114</f>
        <v>168531.56500000003</v>
      </c>
      <c r="W92" s="3">
        <f>+N100</f>
        <v>4986343.440000001</v>
      </c>
      <c r="Y92" s="9" t="s">
        <v>11</v>
      </c>
      <c r="Z92" s="3">
        <f>+AB114</f>
        <v>337063.13000000006</v>
      </c>
      <c r="AI92" s="3">
        <f>+Z100</f>
        <v>9719892.630000003</v>
      </c>
    </row>
    <row r="93" spans="1:34" ht="12.75">
      <c r="A93" s="9" t="s">
        <v>17</v>
      </c>
      <c r="B93" s="3">
        <f>+C121</f>
        <v>28000</v>
      </c>
      <c r="F93" t="s">
        <v>93</v>
      </c>
      <c r="I93" s="51"/>
      <c r="J93" s="8">
        <f>+K92/B91</f>
        <v>210260.312</v>
      </c>
      <c r="M93" s="9" t="s">
        <v>17</v>
      </c>
      <c r="N93" s="3">
        <f>+O121</f>
        <v>70000</v>
      </c>
      <c r="R93" t="s">
        <v>93</v>
      </c>
      <c r="U93" s="51"/>
      <c r="V93" s="8">
        <f>+W92/N91</f>
        <v>199453.73760000005</v>
      </c>
      <c r="Y93" s="9" t="s">
        <v>17</v>
      </c>
      <c r="Z93" s="3">
        <f>+AA121</f>
        <v>140000</v>
      </c>
      <c r="AD93" t="s">
        <v>93</v>
      </c>
      <c r="AG93" s="51"/>
      <c r="AH93" s="8">
        <f>+AI92/Z91</f>
        <v>194397.85260000004</v>
      </c>
    </row>
    <row r="94" spans="1:34" ht="12.75">
      <c r="A94" s="9" t="s">
        <v>18</v>
      </c>
      <c r="B94" s="3">
        <f>+C130</f>
        <v>500</v>
      </c>
      <c r="F94" t="s">
        <v>91</v>
      </c>
      <c r="J94" s="56">
        <f>-(B97+0.1*B146)/B91</f>
        <v>-170358.425</v>
      </c>
      <c r="M94" s="9" t="s">
        <v>18</v>
      </c>
      <c r="N94" s="3">
        <f>+O130</f>
        <v>1250</v>
      </c>
      <c r="R94" t="s">
        <v>91</v>
      </c>
      <c r="V94" s="56">
        <f>-(N97+0.1*N146)/N91</f>
        <v>-169950.56500000003</v>
      </c>
      <c r="Y94" s="9" t="s">
        <v>18</v>
      </c>
      <c r="Z94" s="3">
        <f>+AA130</f>
        <v>2500</v>
      </c>
      <c r="AD94" t="s">
        <v>91</v>
      </c>
      <c r="AH94" s="56">
        <f>-(Z97+0.1*Z146)/Z91</f>
        <v>-169934.06500000003</v>
      </c>
    </row>
    <row r="95" spans="1:34" ht="12.75">
      <c r="A95" s="9" t="s">
        <v>41</v>
      </c>
      <c r="B95" s="3">
        <f>+H108</f>
        <v>169500</v>
      </c>
      <c r="F95" t="s">
        <v>94</v>
      </c>
      <c r="J95" s="8">
        <f>SUM(J93:J94)</f>
        <v>39901.88700000002</v>
      </c>
      <c r="M95" s="9" t="s">
        <v>41</v>
      </c>
      <c r="N95" s="3">
        <f>+T108</f>
        <v>283500</v>
      </c>
      <c r="R95" t="s">
        <v>94</v>
      </c>
      <c r="V95" s="8">
        <f>SUM(V93:V94)</f>
        <v>29503.17260000002</v>
      </c>
      <c r="Y95" s="9" t="s">
        <v>41</v>
      </c>
      <c r="Z95" s="3">
        <f>+AF108</f>
        <v>430500</v>
      </c>
      <c r="AD95" t="s">
        <v>94</v>
      </c>
      <c r="AH95" s="8">
        <f>SUM(AH93:AH94)</f>
        <v>24463.78760000001</v>
      </c>
    </row>
    <row r="96" spans="1:26" ht="12.75">
      <c r="A96" s="9" t="s">
        <v>24</v>
      </c>
      <c r="B96" s="8">
        <f>+B95*0.25</f>
        <v>42375</v>
      </c>
      <c r="M96" s="9" t="s">
        <v>24</v>
      </c>
      <c r="N96" s="8">
        <f>+N95*0.25</f>
        <v>70875</v>
      </c>
      <c r="Y96" s="9" t="s">
        <v>24</v>
      </c>
      <c r="Z96" s="8">
        <f>+Z95*0.25</f>
        <v>107625</v>
      </c>
    </row>
    <row r="97" spans="1:26" ht="12.75">
      <c r="A97" s="9" t="s">
        <v>25</v>
      </c>
      <c r="B97" s="8">
        <f>SUM(H111:H117,H119,H120)/20+(H118+H121)/5</f>
        <v>1701934.25</v>
      </c>
      <c r="M97" s="9" t="s">
        <v>25</v>
      </c>
      <c r="N97" s="8">
        <f>SUM(T111:T117,T119,T120)/20+(T118+T121)/5</f>
        <v>4246289.125000001</v>
      </c>
      <c r="Y97" s="9" t="s">
        <v>25</v>
      </c>
      <c r="Z97" s="8">
        <f>SUM(AF111:AF117,AF119,AF120)/20+(AF118+AF121)/5</f>
        <v>8492578.250000002</v>
      </c>
    </row>
    <row r="98" spans="1:26" ht="12.75">
      <c r="A98" s="9" t="s">
        <v>104</v>
      </c>
      <c r="B98" s="8">
        <f>+H130</f>
        <v>30800</v>
      </c>
      <c r="M98" s="9" t="s">
        <v>104</v>
      </c>
      <c r="N98" s="8">
        <f>+T130</f>
        <v>50400</v>
      </c>
      <c r="Y98" s="9" t="s">
        <v>104</v>
      </c>
      <c r="Z98" s="8">
        <f>+AF130</f>
        <v>78400</v>
      </c>
    </row>
    <row r="99" spans="1:26" ht="12.75">
      <c r="A99" t="s">
        <v>78</v>
      </c>
      <c r="B99" s="39">
        <f>+B152*0.1</f>
        <v>62076.5</v>
      </c>
      <c r="M99" t="s">
        <v>78</v>
      </c>
      <c r="N99" s="39">
        <f>+N152*0.1</f>
        <v>95497.75</v>
      </c>
      <c r="Y99" t="s">
        <v>78</v>
      </c>
      <c r="Z99" s="39">
        <f>+Z152*0.1</f>
        <v>131226.25</v>
      </c>
    </row>
    <row r="100" spans="2:26" ht="12.75">
      <c r="B100" s="3">
        <f>SUM(B92:B99)</f>
        <v>2102603.12</v>
      </c>
      <c r="L100" s="69"/>
      <c r="N100" s="3">
        <f>SUM(N92:N99)</f>
        <v>4986343.440000001</v>
      </c>
      <c r="Z100" s="3">
        <f>SUM(Z92:Z99)</f>
        <v>9719892.630000003</v>
      </c>
    </row>
    <row r="101" spans="6:35" ht="12.75">
      <c r="F101" s="14" t="s">
        <v>40</v>
      </c>
      <c r="G101" s="15"/>
      <c r="H101" s="26"/>
      <c r="J101" s="51"/>
      <c r="K101" s="8"/>
      <c r="R101" s="14" t="s">
        <v>40</v>
      </c>
      <c r="S101" s="15"/>
      <c r="T101" s="26"/>
      <c r="V101" s="51"/>
      <c r="W101" s="8"/>
      <c r="AD101" s="14" t="s">
        <v>40</v>
      </c>
      <c r="AE101" s="15"/>
      <c r="AF101" s="26"/>
      <c r="AH101" s="51"/>
      <c r="AI101" s="8"/>
    </row>
    <row r="102" spans="1:32" ht="12.75">
      <c r="A102" s="14" t="s">
        <v>14</v>
      </c>
      <c r="B102" s="15"/>
      <c r="C102" s="16" t="s">
        <v>68</v>
      </c>
      <c r="D102" s="17"/>
      <c r="F102" s="18" t="s">
        <v>114</v>
      </c>
      <c r="G102" s="19">
        <f>+B202</f>
        <v>1</v>
      </c>
      <c r="H102" s="46">
        <f>+D202</f>
        <v>75000</v>
      </c>
      <c r="M102" s="14" t="s">
        <v>14</v>
      </c>
      <c r="N102" s="15"/>
      <c r="O102" s="16" t="s">
        <v>68</v>
      </c>
      <c r="P102" s="17"/>
      <c r="R102" s="18" t="s">
        <v>114</v>
      </c>
      <c r="S102" s="19">
        <f>+N202</f>
        <v>1</v>
      </c>
      <c r="T102" s="46">
        <f>+P202</f>
        <v>100000</v>
      </c>
      <c r="Y102" s="14" t="s">
        <v>14</v>
      </c>
      <c r="Z102" s="15"/>
      <c r="AA102" s="16" t="s">
        <v>68</v>
      </c>
      <c r="AB102" s="17"/>
      <c r="AD102" s="18" t="s">
        <v>114</v>
      </c>
      <c r="AE102" s="19">
        <f>+Z202</f>
        <v>1</v>
      </c>
      <c r="AF102" s="46">
        <f>+AB202</f>
        <v>100000</v>
      </c>
    </row>
    <row r="103" spans="1:32" ht="12.75">
      <c r="A103" s="18" t="s">
        <v>66</v>
      </c>
      <c r="B103" s="19"/>
      <c r="C103" s="45">
        <v>1803471</v>
      </c>
      <c r="D103" s="21">
        <f aca="true" t="shared" si="0" ref="D103:D109">+B$91*C103*1.1</f>
        <v>19838181</v>
      </c>
      <c r="F103" s="18" t="s">
        <v>115</v>
      </c>
      <c r="G103" s="19">
        <f>+B203</f>
        <v>1</v>
      </c>
      <c r="H103" s="46">
        <f>+D203</f>
        <v>60000</v>
      </c>
      <c r="M103" s="18" t="s">
        <v>66</v>
      </c>
      <c r="N103" s="19"/>
      <c r="O103" s="45">
        <v>1803471</v>
      </c>
      <c r="P103" s="21">
        <f aca="true" t="shared" si="1" ref="P103:P109">+N$91*O103*1.1</f>
        <v>49595452.50000001</v>
      </c>
      <c r="R103" s="18" t="s">
        <v>115</v>
      </c>
      <c r="S103" s="19">
        <f>+N203</f>
        <v>2</v>
      </c>
      <c r="T103" s="46">
        <f>+P203</f>
        <v>120000</v>
      </c>
      <c r="Y103" s="18" t="s">
        <v>66</v>
      </c>
      <c r="Z103" s="19"/>
      <c r="AA103" s="45">
        <v>1803471</v>
      </c>
      <c r="AB103" s="21">
        <f aca="true" t="shared" si="2" ref="AB103:AB109">+Z$91*AA103*1.1</f>
        <v>99190905.00000001</v>
      </c>
      <c r="AD103" s="18" t="s">
        <v>115</v>
      </c>
      <c r="AE103" s="19">
        <f>+Z203</f>
        <v>3</v>
      </c>
      <c r="AF103" s="46">
        <f>+AB203</f>
        <v>180000</v>
      </c>
    </row>
    <row r="104" spans="1:32" ht="12.75">
      <c r="A104" s="18" t="s">
        <v>69</v>
      </c>
      <c r="B104" s="19"/>
      <c r="C104" s="45">
        <v>363825</v>
      </c>
      <c r="D104" s="21">
        <f t="shared" si="0"/>
        <v>4002075.0000000005</v>
      </c>
      <c r="F104" s="18" t="s">
        <v>34</v>
      </c>
      <c r="G104" s="19">
        <f>+B204</f>
        <v>6</v>
      </c>
      <c r="H104" s="46">
        <f>+D204</f>
        <v>270000</v>
      </c>
      <c r="M104" s="18" t="s">
        <v>69</v>
      </c>
      <c r="N104" s="19"/>
      <c r="O104" s="45">
        <v>363825</v>
      </c>
      <c r="P104" s="21">
        <f t="shared" si="1"/>
        <v>10005187.5</v>
      </c>
      <c r="R104" s="18" t="s">
        <v>34</v>
      </c>
      <c r="S104" s="19">
        <f>+N204</f>
        <v>9</v>
      </c>
      <c r="T104" s="46">
        <f>+P204</f>
        <v>405000</v>
      </c>
      <c r="Y104" s="18" t="s">
        <v>69</v>
      </c>
      <c r="Z104" s="19"/>
      <c r="AA104" s="45">
        <v>363825</v>
      </c>
      <c r="AB104" s="21">
        <f t="shared" si="2"/>
        <v>20010375</v>
      </c>
      <c r="AD104" s="18" t="s">
        <v>34</v>
      </c>
      <c r="AE104" s="19">
        <f>+Z204</f>
        <v>15</v>
      </c>
      <c r="AF104" s="46">
        <f>+AB204</f>
        <v>675000</v>
      </c>
    </row>
    <row r="105" spans="1:32" ht="12.75">
      <c r="A105" s="18" t="s">
        <v>70</v>
      </c>
      <c r="B105" s="19"/>
      <c r="C105" s="45">
        <v>163078</v>
      </c>
      <c r="D105" s="21">
        <f t="shared" si="0"/>
        <v>1793858.0000000002</v>
      </c>
      <c r="F105" s="18" t="s">
        <v>113</v>
      </c>
      <c r="G105" s="19">
        <f>+B205</f>
        <v>1</v>
      </c>
      <c r="H105" s="46">
        <f>+D205</f>
        <v>60000</v>
      </c>
      <c r="M105" s="18" t="s">
        <v>70</v>
      </c>
      <c r="N105" s="19"/>
      <c r="O105" s="45">
        <v>165000</v>
      </c>
      <c r="P105" s="21">
        <f t="shared" si="1"/>
        <v>4537500</v>
      </c>
      <c r="R105" s="18" t="s">
        <v>113</v>
      </c>
      <c r="S105" s="19">
        <f>+N205</f>
        <v>2</v>
      </c>
      <c r="T105" s="46">
        <f>+P205</f>
        <v>120000</v>
      </c>
      <c r="Y105" s="18" t="s">
        <v>70</v>
      </c>
      <c r="Z105" s="19"/>
      <c r="AA105" s="45">
        <v>165000</v>
      </c>
      <c r="AB105" s="21">
        <f t="shared" si="2"/>
        <v>9075000</v>
      </c>
      <c r="AD105" s="18" t="s">
        <v>113</v>
      </c>
      <c r="AE105" s="19">
        <f>+Z205</f>
        <v>3</v>
      </c>
      <c r="AF105" s="46">
        <f>+AB205</f>
        <v>180000</v>
      </c>
    </row>
    <row r="106" spans="1:32" ht="12.75">
      <c r="A106" s="18" t="s">
        <v>71</v>
      </c>
      <c r="B106" s="19"/>
      <c r="C106" s="45">
        <v>8774</v>
      </c>
      <c r="D106" s="21">
        <f t="shared" si="0"/>
        <v>96514.00000000001</v>
      </c>
      <c r="F106" s="18" t="s">
        <v>116</v>
      </c>
      <c r="G106" s="19">
        <f>+B206</f>
        <v>2</v>
      </c>
      <c r="H106" s="46">
        <f>+D206</f>
        <v>100000</v>
      </c>
      <c r="M106" s="18" t="s">
        <v>71</v>
      </c>
      <c r="N106" s="19"/>
      <c r="O106" s="45">
        <v>10000</v>
      </c>
      <c r="P106" s="21">
        <f t="shared" si="1"/>
        <v>275000</v>
      </c>
      <c r="R106" s="18" t="s">
        <v>116</v>
      </c>
      <c r="S106" s="19">
        <f>+N206</f>
        <v>4</v>
      </c>
      <c r="T106" s="46">
        <f>+P206</f>
        <v>200000</v>
      </c>
      <c r="Y106" s="18" t="s">
        <v>71</v>
      </c>
      <c r="Z106" s="19"/>
      <c r="AA106" s="45">
        <v>10000</v>
      </c>
      <c r="AB106" s="21">
        <f t="shared" si="2"/>
        <v>550000</v>
      </c>
      <c r="AD106" s="18" t="s">
        <v>116</v>
      </c>
      <c r="AE106" s="19">
        <f>+Z206</f>
        <v>6</v>
      </c>
      <c r="AF106" s="46">
        <f>+AB206</f>
        <v>300000</v>
      </c>
    </row>
    <row r="107" spans="1:32" ht="12.75">
      <c r="A107" s="18" t="s">
        <v>112</v>
      </c>
      <c r="B107" s="19"/>
      <c r="C107" s="45">
        <f>(1882282+1927944+1526018)/12</f>
        <v>444687</v>
      </c>
      <c r="D107" s="21">
        <f t="shared" si="0"/>
        <v>4891557</v>
      </c>
      <c r="F107" s="18" t="s">
        <v>39</v>
      </c>
      <c r="G107" s="19"/>
      <c r="H107" s="36">
        <v>0.3</v>
      </c>
      <c r="M107" s="18" t="s">
        <v>112</v>
      </c>
      <c r="N107" s="19"/>
      <c r="O107" s="45">
        <f>(1882282+1927944+1526018)/12</f>
        <v>444687</v>
      </c>
      <c r="P107" s="21">
        <f t="shared" si="1"/>
        <v>12228892.500000002</v>
      </c>
      <c r="R107" s="18" t="s">
        <v>39</v>
      </c>
      <c r="S107" s="19"/>
      <c r="T107" s="36">
        <v>0.3</v>
      </c>
      <c r="Y107" s="18" t="s">
        <v>112</v>
      </c>
      <c r="Z107" s="19"/>
      <c r="AA107" s="45">
        <f>(1882282+1927944+1526018)/12</f>
        <v>444687</v>
      </c>
      <c r="AB107" s="21">
        <f t="shared" si="2"/>
        <v>24457785.000000004</v>
      </c>
      <c r="AD107" s="18" t="s">
        <v>39</v>
      </c>
      <c r="AE107" s="19"/>
      <c r="AF107" s="36">
        <v>0.3</v>
      </c>
    </row>
    <row r="108" spans="1:32" ht="12.75">
      <c r="A108" s="18" t="s">
        <v>72</v>
      </c>
      <c r="B108" s="19"/>
      <c r="C108" s="45">
        <v>120000</v>
      </c>
      <c r="D108" s="21">
        <f t="shared" si="0"/>
        <v>1320000</v>
      </c>
      <c r="F108" s="23"/>
      <c r="G108" s="2"/>
      <c r="H108" s="25">
        <f>SUM(H102:H106)*H107</f>
        <v>169500</v>
      </c>
      <c r="M108" s="18" t="s">
        <v>72</v>
      </c>
      <c r="N108" s="19"/>
      <c r="O108" s="45">
        <v>120000</v>
      </c>
      <c r="P108" s="21">
        <f t="shared" si="1"/>
        <v>3300000.0000000005</v>
      </c>
      <c r="R108" s="23"/>
      <c r="S108" s="2"/>
      <c r="T108" s="25">
        <f>SUM(T102:T106)*T107</f>
        <v>283500</v>
      </c>
      <c r="Y108" s="18" t="s">
        <v>72</v>
      </c>
      <c r="Z108" s="19"/>
      <c r="AA108" s="45">
        <v>120000</v>
      </c>
      <c r="AB108" s="21">
        <f t="shared" si="2"/>
        <v>6600000.000000001</v>
      </c>
      <c r="AD108" s="23"/>
      <c r="AE108" s="2"/>
      <c r="AF108" s="25">
        <f>SUM(AF102:AF106)*AF107</f>
        <v>430500</v>
      </c>
    </row>
    <row r="109" spans="1:28" ht="12.75">
      <c r="A109" s="18" t="s">
        <v>73</v>
      </c>
      <c r="B109" s="19"/>
      <c r="C109" s="45">
        <v>126500</v>
      </c>
      <c r="D109" s="21">
        <f t="shared" si="0"/>
        <v>1391500</v>
      </c>
      <c r="M109" s="18" t="s">
        <v>73</v>
      </c>
      <c r="N109" s="19"/>
      <c r="O109" s="45">
        <v>126500</v>
      </c>
      <c r="P109" s="21">
        <f t="shared" si="1"/>
        <v>3478750.0000000005</v>
      </c>
      <c r="Y109" s="18" t="s">
        <v>73</v>
      </c>
      <c r="Z109" s="19"/>
      <c r="AA109" s="45">
        <v>126500</v>
      </c>
      <c r="AB109" s="21">
        <f t="shared" si="2"/>
        <v>6957500.000000001</v>
      </c>
    </row>
    <row r="110" spans="1:32" ht="12.75">
      <c r="A110" s="18" t="s">
        <v>136</v>
      </c>
      <c r="B110" s="19"/>
      <c r="C110" s="45">
        <v>10000</v>
      </c>
      <c r="D110" s="21">
        <f>+B91*C110*1.1</f>
        <v>110000.00000000001</v>
      </c>
      <c r="F110" s="14" t="s">
        <v>43</v>
      </c>
      <c r="G110" s="15"/>
      <c r="H110" s="26"/>
      <c r="M110" s="18" t="s">
        <v>74</v>
      </c>
      <c r="N110" s="19"/>
      <c r="O110" s="45">
        <v>8000</v>
      </c>
      <c r="P110" s="21">
        <f>+N91*O110*1.1</f>
        <v>220000.00000000003</v>
      </c>
      <c r="R110" s="14" t="s">
        <v>43</v>
      </c>
      <c r="S110" s="15"/>
      <c r="T110" s="26"/>
      <c r="Y110" s="18" t="s">
        <v>74</v>
      </c>
      <c r="Z110" s="19"/>
      <c r="AA110" s="45">
        <v>8000</v>
      </c>
      <c r="AB110" s="21">
        <f>+Z91*AA110*1.1</f>
        <v>440000.00000000006</v>
      </c>
      <c r="AD110" s="14" t="s">
        <v>43</v>
      </c>
      <c r="AE110" s="15"/>
      <c r="AF110" s="26"/>
    </row>
    <row r="111" spans="1:32" ht="12.75">
      <c r="A111" s="18" t="s">
        <v>143</v>
      </c>
      <c r="B111" s="19"/>
      <c r="C111" s="45">
        <v>15000</v>
      </c>
      <c r="D111" s="21">
        <f>+B91*C111*1.1</f>
        <v>165000</v>
      </c>
      <c r="F111" s="18" t="str">
        <f aca="true" t="shared" si="3" ref="F111:F117">+A103</f>
        <v>Guideway</v>
      </c>
      <c r="G111" s="19"/>
      <c r="H111" s="21">
        <f aca="true" t="shared" si="4" ref="H111:H120">+D103</f>
        <v>19838181</v>
      </c>
      <c r="M111" s="18" t="s">
        <v>143</v>
      </c>
      <c r="N111" s="19"/>
      <c r="O111" s="45">
        <v>15000</v>
      </c>
      <c r="P111" s="21">
        <f>+N91*O111</f>
        <v>375000</v>
      </c>
      <c r="R111" s="18" t="str">
        <f aca="true" t="shared" si="5" ref="R111:R117">+M103</f>
        <v>Guideway</v>
      </c>
      <c r="S111" s="19"/>
      <c r="T111" s="21">
        <f aca="true" t="shared" si="6" ref="T111:T120">+P103</f>
        <v>49595452.50000001</v>
      </c>
      <c r="Y111" s="18" t="s">
        <v>143</v>
      </c>
      <c r="Z111" s="19"/>
      <c r="AA111" s="45">
        <v>15000</v>
      </c>
      <c r="AB111" s="21">
        <f>+Z91*AA111</f>
        <v>750000</v>
      </c>
      <c r="AD111" s="18" t="str">
        <f aca="true" t="shared" si="7" ref="AD111:AD117">+Y103</f>
        <v>Guideway</v>
      </c>
      <c r="AE111" s="19"/>
      <c r="AF111" s="21">
        <f aca="true" t="shared" si="8" ref="AF111:AF120">+AB103</f>
        <v>99190905.00000001</v>
      </c>
    </row>
    <row r="112" spans="1:32" ht="12.75">
      <c r="A112" s="18" t="s">
        <v>144</v>
      </c>
      <c r="B112" s="19"/>
      <c r="C112" s="45">
        <v>10000</v>
      </c>
      <c r="D112" s="21">
        <f>+B91*C112</f>
        <v>100000</v>
      </c>
      <c r="F112" s="18" t="str">
        <f t="shared" si="3"/>
        <v>Foundations &amp; Posts</v>
      </c>
      <c r="G112" s="19"/>
      <c r="H112" s="21">
        <f t="shared" si="4"/>
        <v>4002075.0000000005</v>
      </c>
      <c r="M112" s="18" t="s">
        <v>144</v>
      </c>
      <c r="N112" s="19"/>
      <c r="O112" s="45">
        <v>10000</v>
      </c>
      <c r="P112" s="21">
        <f>+N91*O112</f>
        <v>250000</v>
      </c>
      <c r="R112" s="18" t="str">
        <f t="shared" si="5"/>
        <v>Foundations &amp; Posts</v>
      </c>
      <c r="S112" s="19"/>
      <c r="T112" s="21">
        <f t="shared" si="6"/>
        <v>10005187.5</v>
      </c>
      <c r="Y112" s="18" t="s">
        <v>144</v>
      </c>
      <c r="Z112" s="19"/>
      <c r="AA112" s="45">
        <v>10000</v>
      </c>
      <c r="AB112" s="21">
        <f>+Z91*AA112</f>
        <v>500000</v>
      </c>
      <c r="AD112" s="18" t="str">
        <f t="shared" si="7"/>
        <v>Foundations &amp; Posts</v>
      </c>
      <c r="AE112" s="19"/>
      <c r="AF112" s="21">
        <f t="shared" si="8"/>
        <v>20010375</v>
      </c>
    </row>
    <row r="113" spans="1:32" ht="12.75">
      <c r="A113" s="18"/>
      <c r="B113" s="19"/>
      <c r="C113" s="19"/>
      <c r="D113" s="21">
        <f>SUM(D103:D112)</f>
        <v>33708685</v>
      </c>
      <c r="F113" s="18" t="str">
        <f t="shared" si="3"/>
        <v>Power Supply &amp; Distribution</v>
      </c>
      <c r="G113" s="19"/>
      <c r="H113" s="21">
        <f t="shared" si="4"/>
        <v>1793858.0000000002</v>
      </c>
      <c r="M113" s="18"/>
      <c r="N113" s="19"/>
      <c r="O113" s="19"/>
      <c r="P113" s="21">
        <f>SUM(P103:P112)</f>
        <v>84265782.50000001</v>
      </c>
      <c r="R113" s="18" t="str">
        <f t="shared" si="5"/>
        <v>Power Supply &amp; Distribution</v>
      </c>
      <c r="S113" s="19"/>
      <c r="T113" s="21">
        <f t="shared" si="6"/>
        <v>4537500</v>
      </c>
      <c r="Y113" s="18"/>
      <c r="Z113" s="19"/>
      <c r="AA113" s="19"/>
      <c r="AB113" s="21">
        <f>SUM(AB103:AB112)</f>
        <v>168531565.00000003</v>
      </c>
      <c r="AD113" s="18" t="str">
        <f t="shared" si="7"/>
        <v>Power Supply &amp; Distribution</v>
      </c>
      <c r="AE113" s="19"/>
      <c r="AF113" s="21">
        <f t="shared" si="8"/>
        <v>9075000</v>
      </c>
    </row>
    <row r="114" spans="1:32" ht="12.75">
      <c r="A114" s="23" t="s">
        <v>105</v>
      </c>
      <c r="B114" s="2"/>
      <c r="C114" s="24">
        <v>0.002</v>
      </c>
      <c r="D114" s="25">
        <f>+D113*C114</f>
        <v>67417.37</v>
      </c>
      <c r="F114" s="18" t="str">
        <f t="shared" si="3"/>
        <v>Wayside Comm. &amp; Control</v>
      </c>
      <c r="G114" s="19"/>
      <c r="H114" s="21">
        <f t="shared" si="4"/>
        <v>96514.00000000001</v>
      </c>
      <c r="M114" s="23" t="s">
        <v>105</v>
      </c>
      <c r="N114" s="2"/>
      <c r="O114" s="24">
        <v>0.002</v>
      </c>
      <c r="P114" s="25">
        <f>+P113*O114</f>
        <v>168531.56500000003</v>
      </c>
      <c r="R114" s="18" t="str">
        <f t="shared" si="5"/>
        <v>Wayside Comm. &amp; Control</v>
      </c>
      <c r="S114" s="19"/>
      <c r="T114" s="21">
        <f t="shared" si="6"/>
        <v>275000</v>
      </c>
      <c r="Y114" s="23" t="s">
        <v>105</v>
      </c>
      <c r="Z114" s="2"/>
      <c r="AA114" s="24">
        <v>0.002</v>
      </c>
      <c r="AB114" s="25">
        <f>+AB113*AA114</f>
        <v>337063.13000000006</v>
      </c>
      <c r="AD114" s="18" t="str">
        <f t="shared" si="7"/>
        <v>Wayside Comm. &amp; Control</v>
      </c>
      <c r="AE114" s="19"/>
      <c r="AF114" s="21">
        <f t="shared" si="8"/>
        <v>550000</v>
      </c>
    </row>
    <row r="115" spans="6:32" ht="12.75">
      <c r="F115" s="18" t="str">
        <f t="shared" si="3"/>
        <v>Site Eng, Proj. Mgmt &amp; Insurance</v>
      </c>
      <c r="G115" s="19"/>
      <c r="H115" s="21">
        <f t="shared" si="4"/>
        <v>4891557</v>
      </c>
      <c r="R115" s="18" t="str">
        <f t="shared" si="5"/>
        <v>Site Eng, Proj. Mgmt &amp; Insurance</v>
      </c>
      <c r="S115" s="19"/>
      <c r="T115" s="21">
        <f t="shared" si="6"/>
        <v>12228892.500000002</v>
      </c>
      <c r="AD115" s="18" t="str">
        <f t="shared" si="7"/>
        <v>Site Eng, Proj. Mgmt &amp; Insurance</v>
      </c>
      <c r="AE115" s="19"/>
      <c r="AF115" s="21">
        <f t="shared" si="8"/>
        <v>24457785.000000004</v>
      </c>
    </row>
    <row r="116" spans="1:32" ht="12.75">
      <c r="A116" s="30" t="s">
        <v>15</v>
      </c>
      <c r="B116" s="15"/>
      <c r="C116" s="26"/>
      <c r="F116" s="18" t="str">
        <f t="shared" si="3"/>
        <v>Survey &amp; Landscaping</v>
      </c>
      <c r="G116" s="19"/>
      <c r="H116" s="21">
        <f t="shared" si="4"/>
        <v>1320000</v>
      </c>
      <c r="M116" s="30" t="s">
        <v>15</v>
      </c>
      <c r="N116" s="15"/>
      <c r="O116" s="26"/>
      <c r="R116" s="18" t="str">
        <f t="shared" si="5"/>
        <v>Survey &amp; Landscaping</v>
      </c>
      <c r="S116" s="19"/>
      <c r="T116" s="21">
        <f t="shared" si="6"/>
        <v>3300000.0000000005</v>
      </c>
      <c r="Y116" s="30" t="s">
        <v>15</v>
      </c>
      <c r="Z116" s="15"/>
      <c r="AA116" s="26"/>
      <c r="AD116" s="18" t="str">
        <f t="shared" si="7"/>
        <v>Survey &amp; Landscaping</v>
      </c>
      <c r="AE116" s="19"/>
      <c r="AF116" s="21">
        <f t="shared" si="8"/>
        <v>6600000.000000001</v>
      </c>
    </row>
    <row r="117" spans="1:32" ht="12.75">
      <c r="A117" s="31" t="s">
        <v>76</v>
      </c>
      <c r="B117" s="62">
        <v>0.3</v>
      </c>
      <c r="C117" s="46">
        <f>+B$91*1000*B117</f>
        <v>3000</v>
      </c>
      <c r="F117" s="18" t="str">
        <f t="shared" si="3"/>
        <v>Erection &amp; Adjustment</v>
      </c>
      <c r="G117" s="19"/>
      <c r="H117" s="21">
        <f t="shared" si="4"/>
        <v>1391500</v>
      </c>
      <c r="M117" s="31" t="s">
        <v>76</v>
      </c>
      <c r="N117" s="62">
        <v>0.3</v>
      </c>
      <c r="O117" s="46">
        <f>+N$91*1000*N117</f>
        <v>7500</v>
      </c>
      <c r="R117" s="18" t="str">
        <f t="shared" si="5"/>
        <v>Erection &amp; Adjustment</v>
      </c>
      <c r="S117" s="19"/>
      <c r="T117" s="21">
        <f t="shared" si="6"/>
        <v>3478750.0000000005</v>
      </c>
      <c r="Y117" s="31" t="s">
        <v>76</v>
      </c>
      <c r="Z117" s="62">
        <v>0.3</v>
      </c>
      <c r="AA117" s="46">
        <f>+Z$91*1000*Z117</f>
        <v>15000</v>
      </c>
      <c r="AD117" s="18" t="str">
        <f t="shared" si="7"/>
        <v>Erection &amp; Adjustment</v>
      </c>
      <c r="AE117" s="19"/>
      <c r="AF117" s="21">
        <f t="shared" si="8"/>
        <v>6957500.000000001</v>
      </c>
    </row>
    <row r="118" spans="1:32" ht="12.75">
      <c r="A118" s="31" t="s">
        <v>117</v>
      </c>
      <c r="B118" s="45">
        <v>1500</v>
      </c>
      <c r="C118" s="46">
        <f>+B$91*B118</f>
        <v>15000</v>
      </c>
      <c r="F118" s="47" t="s">
        <v>59</v>
      </c>
      <c r="G118" s="19"/>
      <c r="H118" s="21">
        <f t="shared" si="4"/>
        <v>110000.00000000001</v>
      </c>
      <c r="M118" s="31" t="s">
        <v>117</v>
      </c>
      <c r="N118" s="45">
        <v>1500</v>
      </c>
      <c r="O118" s="46">
        <f>+N$91*N118</f>
        <v>37500</v>
      </c>
      <c r="R118" s="47" t="s">
        <v>59</v>
      </c>
      <c r="S118" s="19"/>
      <c r="T118" s="21">
        <f t="shared" si="6"/>
        <v>220000.00000000003</v>
      </c>
      <c r="Y118" s="31" t="s">
        <v>117</v>
      </c>
      <c r="Z118" s="45">
        <v>1500</v>
      </c>
      <c r="AA118" s="46">
        <f>+Z$91*Z118</f>
        <v>75000</v>
      </c>
      <c r="AD118" s="47" t="s">
        <v>59</v>
      </c>
      <c r="AE118" s="19"/>
      <c r="AF118" s="21">
        <f t="shared" si="8"/>
        <v>440000.00000000006</v>
      </c>
    </row>
    <row r="119" spans="1:32" ht="12.75">
      <c r="A119" s="31" t="s">
        <v>118</v>
      </c>
      <c r="B119" s="45">
        <v>1000</v>
      </c>
      <c r="C119" s="46">
        <f>+B$91*B119</f>
        <v>10000</v>
      </c>
      <c r="F119" s="18" t="str">
        <f>+A111</f>
        <v>Engineering Change Orders</v>
      </c>
      <c r="G119" s="19"/>
      <c r="H119" s="21">
        <f t="shared" si="4"/>
        <v>165000</v>
      </c>
      <c r="M119" s="31" t="s">
        <v>118</v>
      </c>
      <c r="N119" s="45">
        <v>1000</v>
      </c>
      <c r="O119" s="46">
        <f>+N$91*N119</f>
        <v>25000</v>
      </c>
      <c r="R119" s="18" t="str">
        <f>+M111</f>
        <v>Engineering Change Orders</v>
      </c>
      <c r="S119" s="19"/>
      <c r="T119" s="21">
        <f t="shared" si="6"/>
        <v>375000</v>
      </c>
      <c r="Y119" s="31" t="s">
        <v>118</v>
      </c>
      <c r="Z119" s="45">
        <v>1000</v>
      </c>
      <c r="AA119" s="46">
        <f>+Z$91*Z119</f>
        <v>50000</v>
      </c>
      <c r="AD119" s="18" t="str">
        <f>+Y111</f>
        <v>Engineering Change Orders</v>
      </c>
      <c r="AE119" s="19"/>
      <c r="AF119" s="21">
        <f t="shared" si="8"/>
        <v>750000</v>
      </c>
    </row>
    <row r="120" spans="1:32" ht="12.75">
      <c r="A120" s="32"/>
      <c r="B120" s="19"/>
      <c r="C120" s="22"/>
      <c r="F120" s="18" t="str">
        <f>+A112</f>
        <v>Ridership Study</v>
      </c>
      <c r="G120" s="19"/>
      <c r="H120" s="21">
        <f t="shared" si="4"/>
        <v>100000</v>
      </c>
      <c r="M120" s="32"/>
      <c r="N120" s="19"/>
      <c r="O120" s="22"/>
      <c r="R120" s="18" t="str">
        <f>+M112</f>
        <v>Ridership Study</v>
      </c>
      <c r="S120" s="19"/>
      <c r="T120" s="21">
        <f t="shared" si="6"/>
        <v>250000</v>
      </c>
      <c r="Y120" s="32"/>
      <c r="Z120" s="19"/>
      <c r="AA120" s="22"/>
      <c r="AD120" s="18" t="str">
        <f>+Y112</f>
        <v>Ridership Study</v>
      </c>
      <c r="AE120" s="19"/>
      <c r="AF120" s="21">
        <f t="shared" si="8"/>
        <v>500000</v>
      </c>
    </row>
    <row r="121" spans="1:32" ht="12.75">
      <c r="A121" s="33"/>
      <c r="B121" s="2"/>
      <c r="C121" s="25">
        <f>SUM(C117:C120)</f>
        <v>28000</v>
      </c>
      <c r="F121" s="18"/>
      <c r="G121" s="57"/>
      <c r="H121" s="28"/>
      <c r="M121" s="33"/>
      <c r="N121" s="2"/>
      <c r="O121" s="25">
        <f>SUM(O117:O120)</f>
        <v>70000</v>
      </c>
      <c r="R121" s="18"/>
      <c r="S121" s="57"/>
      <c r="T121" s="28"/>
      <c r="Y121" s="33"/>
      <c r="Z121" s="2"/>
      <c r="AA121" s="25">
        <f>SUM(AA117:AA120)</f>
        <v>140000</v>
      </c>
      <c r="AD121" s="18"/>
      <c r="AE121" s="57"/>
      <c r="AF121" s="28"/>
    </row>
    <row r="122" spans="6:32" ht="12.75">
      <c r="F122" s="23"/>
      <c r="G122" s="2"/>
      <c r="H122" s="25">
        <f>SUM(H111:H121)</f>
        <v>33708685</v>
      </c>
      <c r="R122" s="23"/>
      <c r="S122" s="2"/>
      <c r="T122" s="25">
        <f>SUM(T111:T121)</f>
        <v>84265782.50000001</v>
      </c>
      <c r="AD122" s="23"/>
      <c r="AE122" s="2"/>
      <c r="AF122" s="25">
        <f>SUM(AF111:AF121)</f>
        <v>168531565.00000003</v>
      </c>
    </row>
    <row r="123" spans="1:32" ht="12.75">
      <c r="A123" s="14" t="s">
        <v>19</v>
      </c>
      <c r="B123" s="15"/>
      <c r="C123" s="26"/>
      <c r="F123" s="40"/>
      <c r="G123" s="19"/>
      <c r="H123" s="19"/>
      <c r="M123" s="14" t="s">
        <v>19</v>
      </c>
      <c r="N123" s="15"/>
      <c r="O123" s="26"/>
      <c r="R123" s="40"/>
      <c r="S123" s="19"/>
      <c r="T123" s="19"/>
      <c r="Y123" s="14" t="s">
        <v>19</v>
      </c>
      <c r="Z123" s="15"/>
      <c r="AA123" s="26"/>
      <c r="AD123" s="40"/>
      <c r="AE123" s="19"/>
      <c r="AF123" s="19"/>
    </row>
    <row r="124" spans="1:32" ht="12.75" customHeight="1">
      <c r="A124" s="18" t="s">
        <v>20</v>
      </c>
      <c r="B124" s="27"/>
      <c r="C124" s="28"/>
      <c r="F124" s="14" t="s">
        <v>102</v>
      </c>
      <c r="G124" s="15"/>
      <c r="H124" s="50"/>
      <c r="M124" s="18" t="s">
        <v>20</v>
      </c>
      <c r="N124" s="27"/>
      <c r="O124" s="28"/>
      <c r="R124" s="14" t="s">
        <v>102</v>
      </c>
      <c r="S124" s="15"/>
      <c r="T124" s="50"/>
      <c r="Y124" s="18" t="s">
        <v>20</v>
      </c>
      <c r="Z124" s="27"/>
      <c r="AA124" s="28"/>
      <c r="AD124" s="14" t="s">
        <v>102</v>
      </c>
      <c r="AE124" s="15"/>
      <c r="AF124" s="50"/>
    </row>
    <row r="125" spans="1:32" ht="12.75" customHeight="1">
      <c r="A125" s="18" t="s">
        <v>21</v>
      </c>
      <c r="B125" s="27"/>
      <c r="C125" s="28"/>
      <c r="F125" s="60" t="s">
        <v>44</v>
      </c>
      <c r="G125" s="19"/>
      <c r="H125" s="21">
        <f>900*SUM(G$102:G$106)</f>
        <v>9900</v>
      </c>
      <c r="M125" s="18" t="s">
        <v>21</v>
      </c>
      <c r="N125" s="27"/>
      <c r="O125" s="28"/>
      <c r="R125" s="60" t="s">
        <v>44</v>
      </c>
      <c r="S125" s="19"/>
      <c r="T125" s="21">
        <f>900*SUM(S$102:S$106)</f>
        <v>16200</v>
      </c>
      <c r="Y125" s="18" t="s">
        <v>21</v>
      </c>
      <c r="Z125" s="27"/>
      <c r="AA125" s="28"/>
      <c r="AD125" s="60" t="s">
        <v>44</v>
      </c>
      <c r="AE125" s="19"/>
      <c r="AF125" s="21">
        <f>900*SUM(AE$102:AE$106)</f>
        <v>25200</v>
      </c>
    </row>
    <row r="126" spans="1:32" ht="12.75" customHeight="1">
      <c r="A126" s="18" t="s">
        <v>2</v>
      </c>
      <c r="B126" s="27"/>
      <c r="C126" s="28"/>
      <c r="F126" s="60" t="s">
        <v>45</v>
      </c>
      <c r="G126" s="19"/>
      <c r="H126" s="21">
        <f>500*SUM(G$102:G$106)</f>
        <v>5500</v>
      </c>
      <c r="M126" s="18" t="s">
        <v>2</v>
      </c>
      <c r="N126" s="27"/>
      <c r="O126" s="28"/>
      <c r="R126" s="60" t="s">
        <v>45</v>
      </c>
      <c r="S126" s="19"/>
      <c r="T126" s="21">
        <f>500*SUM(S$102:S$106)</f>
        <v>9000</v>
      </c>
      <c r="Y126" s="18" t="s">
        <v>2</v>
      </c>
      <c r="Z126" s="27"/>
      <c r="AA126" s="28"/>
      <c r="AD126" s="60" t="s">
        <v>45</v>
      </c>
      <c r="AE126" s="19"/>
      <c r="AF126" s="21">
        <f>500*SUM(AE$102:AE$106)</f>
        <v>14000</v>
      </c>
    </row>
    <row r="127" spans="1:32" ht="12.75">
      <c r="A127" s="18" t="s">
        <v>22</v>
      </c>
      <c r="B127" s="27">
        <v>50</v>
      </c>
      <c r="C127" s="28">
        <f>+B91*B127</f>
        <v>500</v>
      </c>
      <c r="F127" s="18" t="s">
        <v>46</v>
      </c>
      <c r="G127" s="19"/>
      <c r="H127" s="21">
        <f>400*SUM(G$102:G$106)</f>
        <v>4400</v>
      </c>
      <c r="M127" s="18" t="s">
        <v>22</v>
      </c>
      <c r="N127" s="27">
        <v>50</v>
      </c>
      <c r="O127" s="28">
        <f>+N91*N127</f>
        <v>1250</v>
      </c>
      <c r="R127" s="18" t="s">
        <v>46</v>
      </c>
      <c r="S127" s="19"/>
      <c r="T127" s="21">
        <f>400*SUM(S$102:S$106)</f>
        <v>7200</v>
      </c>
      <c r="Y127" s="18" t="s">
        <v>22</v>
      </c>
      <c r="Z127" s="27">
        <v>50</v>
      </c>
      <c r="AA127" s="28">
        <f>+Z91*Z127</f>
        <v>2500</v>
      </c>
      <c r="AD127" s="18" t="s">
        <v>46</v>
      </c>
      <c r="AE127" s="19"/>
      <c r="AF127" s="21">
        <f>400*SUM(AE$102:AE$106)</f>
        <v>11200</v>
      </c>
    </row>
    <row r="128" spans="1:32" ht="12.75">
      <c r="A128" s="18"/>
      <c r="B128" s="19"/>
      <c r="C128" s="28"/>
      <c r="F128" s="18" t="s">
        <v>103</v>
      </c>
      <c r="G128" s="19"/>
      <c r="H128" s="21">
        <f>1000*SUM(G$102:G$106)</f>
        <v>11000</v>
      </c>
      <c r="M128" s="18"/>
      <c r="N128" s="19"/>
      <c r="O128" s="28"/>
      <c r="R128" s="18" t="s">
        <v>103</v>
      </c>
      <c r="S128" s="19"/>
      <c r="T128" s="21">
        <f>1000*SUM(S$102:S$106)</f>
        <v>18000</v>
      </c>
      <c r="Y128" s="18"/>
      <c r="Z128" s="19"/>
      <c r="AA128" s="28"/>
      <c r="AD128" s="18" t="s">
        <v>103</v>
      </c>
      <c r="AE128" s="19"/>
      <c r="AF128" s="21">
        <f>1000*SUM(AE$102:AE$106)</f>
        <v>28000</v>
      </c>
    </row>
    <row r="129" spans="1:32" ht="12.75">
      <c r="A129" s="18"/>
      <c r="B129" s="19"/>
      <c r="C129" s="28"/>
      <c r="F129" s="18"/>
      <c r="G129" s="19"/>
      <c r="H129" s="28"/>
      <c r="M129" s="18"/>
      <c r="N129" s="19"/>
      <c r="O129" s="28"/>
      <c r="R129" s="18"/>
      <c r="S129" s="19"/>
      <c r="T129" s="28"/>
      <c r="Y129" s="18"/>
      <c r="Z129" s="19"/>
      <c r="AA129" s="28"/>
      <c r="AD129" s="18"/>
      <c r="AE129" s="19"/>
      <c r="AF129" s="28"/>
    </row>
    <row r="130" spans="1:32" ht="12.75">
      <c r="A130" s="23"/>
      <c r="B130" s="2"/>
      <c r="C130" s="25">
        <f>SUM(C124:C129)</f>
        <v>500</v>
      </c>
      <c r="F130" s="23"/>
      <c r="G130" s="2"/>
      <c r="H130" s="25">
        <f>SUM(H125:H129)</f>
        <v>30800</v>
      </c>
      <c r="M130" s="23"/>
      <c r="N130" s="2"/>
      <c r="O130" s="25">
        <f>SUM(O124:O129)</f>
        <v>1250</v>
      </c>
      <c r="R130" s="23"/>
      <c r="S130" s="2"/>
      <c r="T130" s="25">
        <f>SUM(T125:T129)</f>
        <v>50400</v>
      </c>
      <c r="Y130" s="23"/>
      <c r="Z130" s="2"/>
      <c r="AA130" s="25">
        <f>SUM(AA124:AA129)</f>
        <v>2500</v>
      </c>
      <c r="AD130" s="23"/>
      <c r="AE130" s="2"/>
      <c r="AF130" s="25">
        <f>SUM(AF125:AF129)</f>
        <v>78400</v>
      </c>
    </row>
    <row r="131" spans="1:32" s="4" customFormat="1" ht="12.75">
      <c r="A131" s="52"/>
      <c r="B131" s="52"/>
      <c r="C131" s="53"/>
      <c r="F131" s="52"/>
      <c r="G131" s="52"/>
      <c r="H131" s="54"/>
      <c r="M131" s="52"/>
      <c r="N131" s="52"/>
      <c r="O131" s="53"/>
      <c r="R131" s="52"/>
      <c r="S131" s="52"/>
      <c r="T131" s="54"/>
      <c r="Y131" s="52"/>
      <c r="Z131" s="52"/>
      <c r="AA131" s="53"/>
      <c r="AD131" s="52"/>
      <c r="AE131" s="52"/>
      <c r="AF131" s="54"/>
    </row>
    <row r="132" spans="6:35" ht="12.75">
      <c r="F132" s="19"/>
      <c r="G132" s="55" t="s">
        <v>89</v>
      </c>
      <c r="K132" s="75">
        <f>SUM(K1:K129)</f>
        <v>6470727.3638</v>
      </c>
      <c r="R132" s="19"/>
      <c r="S132" s="55" t="s">
        <v>89</v>
      </c>
      <c r="W132" s="8">
        <f>SUM(W1:W129)</f>
        <v>23780381.470384616</v>
      </c>
      <c r="AD132" s="19"/>
      <c r="AE132" s="55" t="s">
        <v>89</v>
      </c>
      <c r="AI132" s="8">
        <f>SUM(AI1:AI129)</f>
        <v>52721117.08438461</v>
      </c>
    </row>
    <row r="133" spans="6:35" ht="12.75">
      <c r="F133" s="19"/>
      <c r="G133" s="55" t="s">
        <v>85</v>
      </c>
      <c r="K133" s="35">
        <f>-SUM(B24,B62,B97,B146)</f>
        <v>-3363580.995</v>
      </c>
      <c r="R133" s="19"/>
      <c r="S133" s="55" t="s">
        <v>85</v>
      </c>
      <c r="W133" s="35">
        <f>-SUM(N24,N62,N97,N146)</f>
        <v>-13583036.684615389</v>
      </c>
      <c r="AD133" s="19"/>
      <c r="AE133" s="55" t="s">
        <v>85</v>
      </c>
      <c r="AI133" s="35">
        <f>-SUM(Z24,Z62,Z97,Z146)</f>
        <v>-30678632.05961539</v>
      </c>
    </row>
    <row r="134" spans="7:35" ht="12.75">
      <c r="G134" t="s">
        <v>84</v>
      </c>
      <c r="K134" s="75">
        <f>SUM(K132:K133)</f>
        <v>3107146.3688000003</v>
      </c>
      <c r="S134" t="s">
        <v>84</v>
      </c>
      <c r="W134" s="8">
        <f>SUM(W132:W133)</f>
        <v>10197344.785769228</v>
      </c>
      <c r="AE134" t="s">
        <v>84</v>
      </c>
      <c r="AI134" s="8">
        <f>SUM(AI132:AI133)</f>
        <v>22042485.024769224</v>
      </c>
    </row>
    <row r="135" s="4" customFormat="1" ht="12.75"/>
    <row r="136" spans="1:25" ht="12.75">
      <c r="A136" s="5" t="s">
        <v>83</v>
      </c>
      <c r="M136" s="5" t="s">
        <v>83</v>
      </c>
      <c r="Y136" s="5" t="s">
        <v>83</v>
      </c>
    </row>
    <row r="137" spans="7:31" ht="12.75">
      <c r="G137" s="8"/>
      <c r="I137" t="s">
        <v>152</v>
      </c>
      <c r="J137" s="76">
        <f>E196</f>
        <v>129902.9991820331</v>
      </c>
      <c r="S137" s="8"/>
      <c r="AE137" s="8"/>
    </row>
    <row r="138" spans="1:25" ht="12.75">
      <c r="A138" s="1" t="s">
        <v>33</v>
      </c>
      <c r="I138" t="s">
        <v>153</v>
      </c>
      <c r="J138" s="3">
        <f>K134/J137</f>
        <v>23.91897329826816</v>
      </c>
      <c r="M138" s="1" t="s">
        <v>33</v>
      </c>
      <c r="Y138" s="1" t="s">
        <v>33</v>
      </c>
    </row>
    <row r="139" spans="1:26" ht="12.75">
      <c r="A139" s="9" t="s">
        <v>8</v>
      </c>
      <c r="B139" s="7">
        <v>1000</v>
      </c>
      <c r="I139" t="s">
        <v>154</v>
      </c>
      <c r="J139" s="76">
        <f>E202</f>
        <v>48940808.19</v>
      </c>
      <c r="M139" s="9" t="s">
        <v>8</v>
      </c>
      <c r="N139" s="7">
        <f>+P199</f>
        <v>1500</v>
      </c>
      <c r="Y139" s="9" t="s">
        <v>8</v>
      </c>
      <c r="Z139" s="7">
        <f>+AB199</f>
        <v>2500</v>
      </c>
    </row>
    <row r="140" spans="1:27" ht="12.75">
      <c r="A140" s="9" t="s">
        <v>9</v>
      </c>
      <c r="B140" s="3">
        <f>+B139*C140</f>
        <v>10000</v>
      </c>
      <c r="C140" s="6">
        <v>10</v>
      </c>
      <c r="M140" s="9" t="s">
        <v>9</v>
      </c>
      <c r="N140" s="3">
        <f>+N139*O140</f>
        <v>15000</v>
      </c>
      <c r="O140" s="6">
        <v>10</v>
      </c>
      <c r="Y140" s="9" t="s">
        <v>9</v>
      </c>
      <c r="Z140" s="3">
        <f>+Z139*AA140</f>
        <v>25000</v>
      </c>
      <c r="AA140" s="6">
        <v>10</v>
      </c>
    </row>
    <row r="141" spans="1:26" ht="12.75">
      <c r="A141" s="9" t="s">
        <v>11</v>
      </c>
      <c r="B141" s="3">
        <f>+D161</f>
        <v>20365</v>
      </c>
      <c r="I141" t="s">
        <v>155</v>
      </c>
      <c r="J141" s="77">
        <f>K134/J139</f>
        <v>0.0634878434523866</v>
      </c>
      <c r="M141" s="9" t="s">
        <v>11</v>
      </c>
      <c r="N141" s="3">
        <f>+P161</f>
        <v>30547.5</v>
      </c>
      <c r="Y141" s="9" t="s">
        <v>11</v>
      </c>
      <c r="Z141" s="3">
        <f>+AB161</f>
        <v>40912.5</v>
      </c>
    </row>
    <row r="142" spans="1:26" ht="12.75">
      <c r="A142" s="9" t="s">
        <v>17</v>
      </c>
      <c r="B142" s="3">
        <f>+C171</f>
        <v>10200</v>
      </c>
      <c r="I142" s="1" t="s">
        <v>155</v>
      </c>
      <c r="J142" s="78">
        <f>J141*9</f>
        <v>0.5713905910714794</v>
      </c>
      <c r="M142" s="9" t="s">
        <v>17</v>
      </c>
      <c r="N142" s="3">
        <f>+O171</f>
        <v>14130</v>
      </c>
      <c r="Y142" s="9" t="s">
        <v>17</v>
      </c>
      <c r="Z142" s="3">
        <f>+AA171</f>
        <v>23550</v>
      </c>
    </row>
    <row r="143" spans="1:26" ht="12.75">
      <c r="A143" s="9" t="s">
        <v>18</v>
      </c>
      <c r="B143" s="3">
        <f>+C181</f>
        <v>8500</v>
      </c>
      <c r="M143" s="9" t="s">
        <v>18</v>
      </c>
      <c r="N143" s="3">
        <f>+O181</f>
        <v>12750</v>
      </c>
      <c r="Y143" s="9" t="s">
        <v>18</v>
      </c>
      <c r="Z143" s="3">
        <f>+AA181</f>
        <v>21250</v>
      </c>
    </row>
    <row r="144" spans="1:26" ht="12.75">
      <c r="A144" s="9" t="s">
        <v>41</v>
      </c>
      <c r="B144" s="3">
        <f>+H161</f>
        <v>300000</v>
      </c>
      <c r="M144" s="9" t="s">
        <v>41</v>
      </c>
      <c r="N144" s="3">
        <f>+T161</f>
        <v>460000</v>
      </c>
      <c r="Y144" s="9" t="s">
        <v>41</v>
      </c>
      <c r="Z144" s="3">
        <f>+AF161</f>
        <v>610000</v>
      </c>
    </row>
    <row r="145" spans="1:26" ht="12.75">
      <c r="A145" s="9" t="s">
        <v>24</v>
      </c>
      <c r="B145" s="8">
        <f>+B144*0.25</f>
        <v>75000</v>
      </c>
      <c r="M145" s="9" t="s">
        <v>24</v>
      </c>
      <c r="N145" s="8">
        <f>+N144*0.25</f>
        <v>115000</v>
      </c>
      <c r="Y145" s="9" t="s">
        <v>24</v>
      </c>
      <c r="Z145" s="8">
        <f>+Z144*0.25</f>
        <v>152500</v>
      </c>
    </row>
    <row r="146" spans="1:26" ht="12.75">
      <c r="A146" s="9" t="s">
        <v>25</v>
      </c>
      <c r="B146" s="8">
        <f>H164/5+H165/20</f>
        <v>16500</v>
      </c>
      <c r="M146" s="9" t="s">
        <v>25</v>
      </c>
      <c r="N146" s="8">
        <f>T164/5+T165/20</f>
        <v>24750.000000000004</v>
      </c>
      <c r="Y146" s="9" t="s">
        <v>25</v>
      </c>
      <c r="Z146" s="8">
        <f>AF164/5+AF165/20</f>
        <v>41250.00000000001</v>
      </c>
    </row>
    <row r="147" spans="1:26" ht="12.75">
      <c r="A147" t="s">
        <v>54</v>
      </c>
      <c r="B147" s="39">
        <f>+H180</f>
        <v>143000</v>
      </c>
      <c r="M147" t="s">
        <v>54</v>
      </c>
      <c r="N147" s="39">
        <f>+T180</f>
        <v>220800</v>
      </c>
      <c r="Y147" t="s">
        <v>54</v>
      </c>
      <c r="Z147" s="39">
        <f>+AF180</f>
        <v>292800</v>
      </c>
    </row>
    <row r="148" spans="2:26" ht="12.75">
      <c r="B148" s="3">
        <f>SUM(B140:B147)</f>
        <v>583565</v>
      </c>
      <c r="L148" s="69"/>
      <c r="N148" s="3">
        <f>SUM(N140:N147)</f>
        <v>892977.5</v>
      </c>
      <c r="Z148" s="3">
        <f>SUM(Z140:Z147)</f>
        <v>1207262.5</v>
      </c>
    </row>
    <row r="149" spans="1:26" ht="12.75">
      <c r="A149" t="s">
        <v>124</v>
      </c>
      <c r="B149" s="8">
        <v>15000</v>
      </c>
      <c r="L149" s="69"/>
      <c r="M149" t="s">
        <v>124</v>
      </c>
      <c r="N149" s="8">
        <v>25000</v>
      </c>
      <c r="Y149" t="s">
        <v>124</v>
      </c>
      <c r="Z149" s="8">
        <v>40000</v>
      </c>
    </row>
    <row r="150" spans="1:26" ht="12.75">
      <c r="A150" t="s">
        <v>125</v>
      </c>
      <c r="B150" s="8">
        <v>15000</v>
      </c>
      <c r="L150" s="69"/>
      <c r="M150" t="s">
        <v>125</v>
      </c>
      <c r="N150" s="8">
        <v>25000</v>
      </c>
      <c r="Y150" t="s">
        <v>125</v>
      </c>
      <c r="Z150" s="8">
        <v>40000</v>
      </c>
    </row>
    <row r="151" spans="1:26" ht="12.75">
      <c r="A151" t="s">
        <v>108</v>
      </c>
      <c r="B151" s="39">
        <v>7200</v>
      </c>
      <c r="L151" s="69"/>
      <c r="M151" t="s">
        <v>108</v>
      </c>
      <c r="N151" s="39">
        <v>12000</v>
      </c>
      <c r="Y151" t="s">
        <v>108</v>
      </c>
      <c r="Z151" s="39">
        <v>25000</v>
      </c>
    </row>
    <row r="152" spans="2:26" ht="12.75">
      <c r="B152" s="3">
        <f>SUM(B148:B151)</f>
        <v>620765</v>
      </c>
      <c r="L152" s="69"/>
      <c r="N152" s="3">
        <f>SUM(N148:N151)</f>
        <v>954977.5</v>
      </c>
      <c r="Z152" s="3">
        <f>SUM(Z148:Z151)</f>
        <v>1312262.5</v>
      </c>
    </row>
    <row r="154" spans="1:32" ht="12.75">
      <c r="A154" s="14" t="s">
        <v>14</v>
      </c>
      <c r="B154" s="15"/>
      <c r="C154" s="16" t="s">
        <v>12</v>
      </c>
      <c r="D154" s="17"/>
      <c r="F154" s="14" t="s">
        <v>40</v>
      </c>
      <c r="G154" s="15"/>
      <c r="H154" s="26"/>
      <c r="M154" s="14" t="s">
        <v>14</v>
      </c>
      <c r="N154" s="15"/>
      <c r="O154" s="16" t="s">
        <v>12</v>
      </c>
      <c r="P154" s="17"/>
      <c r="R154" s="14" t="s">
        <v>40</v>
      </c>
      <c r="S154" s="15"/>
      <c r="T154" s="26"/>
      <c r="Y154" s="14" t="s">
        <v>14</v>
      </c>
      <c r="Z154" s="15"/>
      <c r="AA154" s="16" t="s">
        <v>12</v>
      </c>
      <c r="AB154" s="17"/>
      <c r="AD154" s="14" t="s">
        <v>40</v>
      </c>
      <c r="AE154" s="15"/>
      <c r="AF154" s="26"/>
    </row>
    <row r="155" spans="1:32" ht="12.75">
      <c r="A155" s="18" t="s">
        <v>32</v>
      </c>
      <c r="B155" s="19"/>
      <c r="C155" s="20">
        <v>100</v>
      </c>
      <c r="D155" s="21">
        <f>+B139*C155</f>
        <v>100000</v>
      </c>
      <c r="F155" s="18" t="s">
        <v>35</v>
      </c>
      <c r="G155" s="19">
        <f>+B208</f>
        <v>1</v>
      </c>
      <c r="H155" s="46">
        <f>+D208</f>
        <v>125000</v>
      </c>
      <c r="M155" s="18" t="s">
        <v>32</v>
      </c>
      <c r="N155" s="19"/>
      <c r="O155" s="20">
        <v>100</v>
      </c>
      <c r="P155" s="21">
        <f>+N139*O155</f>
        <v>150000</v>
      </c>
      <c r="R155" s="18" t="s">
        <v>35</v>
      </c>
      <c r="S155" s="19">
        <f>+N208</f>
        <v>1</v>
      </c>
      <c r="T155" s="46">
        <f>+P208</f>
        <v>125000</v>
      </c>
      <c r="Y155" s="18" t="s">
        <v>32</v>
      </c>
      <c r="Z155" s="19"/>
      <c r="AA155" s="20">
        <v>100</v>
      </c>
      <c r="AB155" s="21">
        <f>+Z139*AA155</f>
        <v>250000</v>
      </c>
      <c r="AD155" s="18" t="s">
        <v>35</v>
      </c>
      <c r="AE155" s="19">
        <f>+Z208</f>
        <v>1</v>
      </c>
      <c r="AF155" s="46">
        <f>+AB208</f>
        <v>125000</v>
      </c>
    </row>
    <row r="156" spans="1:32" ht="12.75">
      <c r="A156" s="18" t="s">
        <v>10</v>
      </c>
      <c r="B156" s="19"/>
      <c r="C156" s="20"/>
      <c r="D156" s="21">
        <f>+D155*0.75*1.1</f>
        <v>82500</v>
      </c>
      <c r="F156" t="s">
        <v>135</v>
      </c>
      <c r="G156" s="19">
        <f>+B209</f>
        <v>0</v>
      </c>
      <c r="H156" s="46">
        <f>+D209</f>
        <v>0</v>
      </c>
      <c r="M156" s="18" t="s">
        <v>10</v>
      </c>
      <c r="N156" s="19"/>
      <c r="O156" s="20"/>
      <c r="P156" s="21">
        <f>+P155*0.75*1.1</f>
        <v>123750.00000000001</v>
      </c>
      <c r="R156" s="18" t="s">
        <v>135</v>
      </c>
      <c r="S156" s="19">
        <f>+N209</f>
        <v>1</v>
      </c>
      <c r="T156" s="46">
        <f>+P209</f>
        <v>80000</v>
      </c>
      <c r="Y156" s="18" t="s">
        <v>10</v>
      </c>
      <c r="Z156" s="19"/>
      <c r="AA156" s="20"/>
      <c r="AB156" s="21">
        <f>+AB155*0.75*1.1</f>
        <v>206250.00000000003</v>
      </c>
      <c r="AD156" s="18" t="s">
        <v>135</v>
      </c>
      <c r="AE156" s="19">
        <f>+Z209</f>
        <v>1</v>
      </c>
      <c r="AF156" s="46">
        <f>+AB209</f>
        <v>80000</v>
      </c>
    </row>
    <row r="157" spans="1:32" ht="12.75">
      <c r="A157" s="18"/>
      <c r="B157" s="19"/>
      <c r="C157" s="20"/>
      <c r="D157" s="21"/>
      <c r="F157" s="18" t="s">
        <v>36</v>
      </c>
      <c r="G157" s="19">
        <f>+B210</f>
        <v>1</v>
      </c>
      <c r="H157" s="46">
        <f>+D210</f>
        <v>55000</v>
      </c>
      <c r="M157" s="18"/>
      <c r="N157" s="19"/>
      <c r="O157" s="20"/>
      <c r="P157" s="21">
        <f>+$B$15*O157</f>
        <v>0</v>
      </c>
      <c r="R157" s="18" t="s">
        <v>36</v>
      </c>
      <c r="S157" s="19">
        <f>+N210</f>
        <v>1</v>
      </c>
      <c r="T157" s="46">
        <f>+P210</f>
        <v>55000</v>
      </c>
      <c r="Y157" s="18"/>
      <c r="Z157" s="19"/>
      <c r="AA157" s="20"/>
      <c r="AB157" s="21">
        <f>+$B$15*AA157</f>
        <v>0</v>
      </c>
      <c r="AD157" s="18" t="s">
        <v>36</v>
      </c>
      <c r="AE157" s="19">
        <f>+Z210</f>
        <v>3</v>
      </c>
      <c r="AF157" s="46">
        <f>+AB210</f>
        <v>165000</v>
      </c>
    </row>
    <row r="158" spans="1:32" ht="12.75">
      <c r="A158" s="18"/>
      <c r="B158" s="19"/>
      <c r="C158" s="19"/>
      <c r="D158" s="21">
        <f>SUM(D153:D157)</f>
        <v>182500</v>
      </c>
      <c r="F158" s="18" t="s">
        <v>37</v>
      </c>
      <c r="G158" s="19">
        <f>+B211</f>
        <v>3</v>
      </c>
      <c r="H158" s="46">
        <f>+D211</f>
        <v>120000</v>
      </c>
      <c r="M158" s="18"/>
      <c r="N158" s="19"/>
      <c r="O158" s="19"/>
      <c r="P158" s="21">
        <f>SUM(P153:P157)</f>
        <v>273750</v>
      </c>
      <c r="R158" s="18" t="s">
        <v>37</v>
      </c>
      <c r="S158" s="19">
        <f>+N211</f>
        <v>5</v>
      </c>
      <c r="T158" s="46">
        <f>+P211</f>
        <v>200000</v>
      </c>
      <c r="Y158" s="18"/>
      <c r="Z158" s="19"/>
      <c r="AA158" s="19"/>
      <c r="AB158" s="21">
        <f>SUM(AB153:AB157)</f>
        <v>456250</v>
      </c>
      <c r="AD158" s="18" t="s">
        <v>37</v>
      </c>
      <c r="AE158" s="19">
        <f>+Z211</f>
        <v>6</v>
      </c>
      <c r="AF158" s="46">
        <f>+AB211</f>
        <v>240000</v>
      </c>
    </row>
    <row r="159" spans="1:32" ht="12.75">
      <c r="A159" s="18" t="s">
        <v>105</v>
      </c>
      <c r="B159" s="19"/>
      <c r="C159" s="49">
        <v>0.002</v>
      </c>
      <c r="D159" s="28">
        <f>+D158*C159</f>
        <v>365</v>
      </c>
      <c r="F159" s="18"/>
      <c r="G159" s="19"/>
      <c r="H159" s="22"/>
      <c r="M159" s="18" t="s">
        <v>105</v>
      </c>
      <c r="N159" s="19"/>
      <c r="O159" s="49">
        <v>0.002</v>
      </c>
      <c r="P159" s="28">
        <f>+P158*O159</f>
        <v>547.5</v>
      </c>
      <c r="R159" s="18"/>
      <c r="S159" s="19"/>
      <c r="T159" s="22"/>
      <c r="Y159" s="18" t="s">
        <v>105</v>
      </c>
      <c r="Z159" s="19"/>
      <c r="AA159" s="49">
        <v>0.002</v>
      </c>
      <c r="AB159" s="28">
        <f>+AB158*AA159</f>
        <v>912.5</v>
      </c>
      <c r="AD159" s="18"/>
      <c r="AE159" s="19"/>
      <c r="AF159" s="22"/>
    </row>
    <row r="160" spans="1:32" ht="12.75">
      <c r="A160" s="18" t="s">
        <v>105</v>
      </c>
      <c r="B160" s="19" t="s">
        <v>77</v>
      </c>
      <c r="C160" s="19"/>
      <c r="D160" s="46">
        <f>D200</f>
        <v>20000</v>
      </c>
      <c r="F160" s="18"/>
      <c r="G160" s="19"/>
      <c r="H160" s="36">
        <v>1</v>
      </c>
      <c r="M160" s="18" t="s">
        <v>105</v>
      </c>
      <c r="N160" s="19" t="s">
        <v>77</v>
      </c>
      <c r="O160" s="19"/>
      <c r="P160" s="46">
        <f>P200</f>
        <v>30000</v>
      </c>
      <c r="R160" s="18"/>
      <c r="S160" s="19"/>
      <c r="T160" s="36">
        <v>1</v>
      </c>
      <c r="Y160" s="18" t="s">
        <v>105</v>
      </c>
      <c r="Z160" s="19" t="s">
        <v>77</v>
      </c>
      <c r="AA160" s="19"/>
      <c r="AB160" s="46">
        <f>AB200</f>
        <v>40000</v>
      </c>
      <c r="AD160" s="18"/>
      <c r="AE160" s="19"/>
      <c r="AF160" s="36">
        <v>1</v>
      </c>
    </row>
    <row r="161" spans="1:32" ht="12.75">
      <c r="A161" s="23"/>
      <c r="B161" s="2"/>
      <c r="C161" s="24"/>
      <c r="D161" s="25">
        <f>SUM(D159:D160)</f>
        <v>20365</v>
      </c>
      <c r="F161" s="23"/>
      <c r="G161" s="2"/>
      <c r="H161" s="25">
        <f>SUM(H155:H159)*H160</f>
        <v>300000</v>
      </c>
      <c r="M161" s="23"/>
      <c r="N161" s="2"/>
      <c r="O161" s="24"/>
      <c r="P161" s="25">
        <f>SUM(P159:P160)</f>
        <v>30547.5</v>
      </c>
      <c r="R161" s="23"/>
      <c r="S161" s="2"/>
      <c r="T161" s="25">
        <f>SUM(T155:T159)*T160</f>
        <v>460000</v>
      </c>
      <c r="Y161" s="23"/>
      <c r="Z161" s="2"/>
      <c r="AA161" s="24"/>
      <c r="AB161" s="25">
        <f>SUM(AB159:AB160)</f>
        <v>40912.5</v>
      </c>
      <c r="AD161" s="23"/>
      <c r="AE161" s="2"/>
      <c r="AF161" s="25">
        <f>SUM(AF155:AF159)*AF160</f>
        <v>610000</v>
      </c>
    </row>
    <row r="163" spans="6:32" ht="12.75">
      <c r="F163" s="14" t="s">
        <v>43</v>
      </c>
      <c r="G163" s="15"/>
      <c r="H163" s="26"/>
      <c r="R163" s="14" t="s">
        <v>43</v>
      </c>
      <c r="S163" s="15"/>
      <c r="T163" s="26"/>
      <c r="AD163" s="14" t="s">
        <v>43</v>
      </c>
      <c r="AE163" s="15"/>
      <c r="AF163" s="26"/>
    </row>
    <row r="164" spans="1:32" ht="12.75">
      <c r="A164" s="30" t="s">
        <v>15</v>
      </c>
      <c r="B164" s="15"/>
      <c r="C164" s="26"/>
      <c r="F164" s="18" t="str">
        <f>+A156</f>
        <v>Contents</v>
      </c>
      <c r="G164" s="19"/>
      <c r="H164" s="21">
        <f>+D156</f>
        <v>82500</v>
      </c>
      <c r="M164" s="30" t="s">
        <v>15</v>
      </c>
      <c r="N164" s="15"/>
      <c r="O164" s="26"/>
      <c r="R164" s="18" t="str">
        <f>+M156</f>
        <v>Contents</v>
      </c>
      <c r="S164" s="19"/>
      <c r="T164" s="21">
        <f>+P156</f>
        <v>123750.00000000001</v>
      </c>
      <c r="Y164" s="30" t="s">
        <v>15</v>
      </c>
      <c r="Z164" s="15"/>
      <c r="AA164" s="26"/>
      <c r="AD164" s="18" t="str">
        <f>+Y156</f>
        <v>Contents</v>
      </c>
      <c r="AE164" s="19"/>
      <c r="AF164" s="21">
        <f>+AB156</f>
        <v>206250.00000000003</v>
      </c>
    </row>
    <row r="165" spans="1:32" ht="12.75">
      <c r="A165" s="31" t="s">
        <v>30</v>
      </c>
      <c r="B165" s="27">
        <v>0.1</v>
      </c>
      <c r="C165" s="46">
        <f>+B$139*B165</f>
        <v>100</v>
      </c>
      <c r="F165" s="18"/>
      <c r="G165" s="61"/>
      <c r="H165" s="21"/>
      <c r="M165" s="31" t="s">
        <v>30</v>
      </c>
      <c r="N165" s="27">
        <v>0.1</v>
      </c>
      <c r="O165" s="46">
        <f>+N$139*N165</f>
        <v>150</v>
      </c>
      <c r="R165" s="18"/>
      <c r="S165" s="61"/>
      <c r="T165" s="21"/>
      <c r="Y165" s="31" t="s">
        <v>30</v>
      </c>
      <c r="Z165" s="27">
        <v>0.1</v>
      </c>
      <c r="AA165" s="46">
        <f>+Z$139*Z165</f>
        <v>250</v>
      </c>
      <c r="AD165" s="18"/>
      <c r="AE165" s="61"/>
      <c r="AF165" s="21"/>
    </row>
    <row r="166" spans="1:32" ht="12.75">
      <c r="A166" s="31" t="s">
        <v>16</v>
      </c>
      <c r="B166" s="27">
        <v>0.8</v>
      </c>
      <c r="C166" s="46">
        <f>+B$139*B166</f>
        <v>800</v>
      </c>
      <c r="F166" s="18"/>
      <c r="G166" s="19"/>
      <c r="H166" s="21"/>
      <c r="M166" s="31" t="s">
        <v>16</v>
      </c>
      <c r="N166" s="27">
        <v>0.8</v>
      </c>
      <c r="O166" s="46">
        <f>+N$139*N166</f>
        <v>1200</v>
      </c>
      <c r="R166" s="18"/>
      <c r="S166" s="19"/>
      <c r="T166" s="21"/>
      <c r="Y166" s="31" t="s">
        <v>16</v>
      </c>
      <c r="Z166" s="27">
        <v>0.8</v>
      </c>
      <c r="AA166" s="46">
        <f>+Z$139*Z166</f>
        <v>2000</v>
      </c>
      <c r="AD166" s="18"/>
      <c r="AE166" s="19"/>
      <c r="AF166" s="21"/>
    </row>
    <row r="167" spans="1:32" ht="12.75">
      <c r="A167" s="31" t="s">
        <v>23</v>
      </c>
      <c r="B167" s="27">
        <v>0.75</v>
      </c>
      <c r="C167" s="46">
        <f>+B$139*B167</f>
        <v>750</v>
      </c>
      <c r="F167" s="18"/>
      <c r="G167" s="19"/>
      <c r="H167" s="22"/>
      <c r="M167" s="31" t="s">
        <v>23</v>
      </c>
      <c r="N167" s="27">
        <v>0.75</v>
      </c>
      <c r="O167" s="46">
        <f>+N$139*N167</f>
        <v>1125</v>
      </c>
      <c r="R167" s="18"/>
      <c r="S167" s="19"/>
      <c r="T167" s="22"/>
      <c r="Y167" s="31" t="s">
        <v>23</v>
      </c>
      <c r="Z167" s="27">
        <v>0.75</v>
      </c>
      <c r="AA167" s="46">
        <f>+Z$139*Z167</f>
        <v>1875</v>
      </c>
      <c r="AD167" s="18"/>
      <c r="AE167" s="19"/>
      <c r="AF167" s="22"/>
    </row>
    <row r="168" spans="1:32" ht="12.75">
      <c r="A168" s="31" t="s">
        <v>1</v>
      </c>
      <c r="B168" s="27">
        <v>0.75</v>
      </c>
      <c r="C168" s="46">
        <f>+B$139*B168</f>
        <v>750</v>
      </c>
      <c r="F168" s="18"/>
      <c r="G168" s="19"/>
      <c r="H168" s="22"/>
      <c r="M168" s="31" t="s">
        <v>1</v>
      </c>
      <c r="N168" s="27">
        <v>0.75</v>
      </c>
      <c r="O168" s="46">
        <f>+N$139*N168</f>
        <v>1125</v>
      </c>
      <c r="R168" s="18"/>
      <c r="S168" s="19"/>
      <c r="T168" s="22"/>
      <c r="Y168" s="31" t="s">
        <v>1</v>
      </c>
      <c r="Z168" s="27">
        <v>0.75</v>
      </c>
      <c r="AA168" s="46">
        <f>+Z$139*Z168</f>
        <v>1875</v>
      </c>
      <c r="AD168" s="18"/>
      <c r="AE168" s="19"/>
      <c r="AF168" s="22"/>
    </row>
    <row r="169" spans="1:32" ht="12.75">
      <c r="A169" s="31" t="s">
        <v>82</v>
      </c>
      <c r="B169" s="49">
        <v>0.03</v>
      </c>
      <c r="C169" s="28">
        <f>+B139*B169*260</f>
        <v>7800</v>
      </c>
      <c r="F169" s="23"/>
      <c r="G169" s="2"/>
      <c r="H169" s="25">
        <f>SUM(H164:H168)</f>
        <v>82500</v>
      </c>
      <c r="M169" s="31" t="s">
        <v>82</v>
      </c>
      <c r="N169" s="49">
        <v>0.027</v>
      </c>
      <c r="O169" s="28">
        <f>+N139*N169*260</f>
        <v>10530</v>
      </c>
      <c r="R169" s="23"/>
      <c r="S169" s="2"/>
      <c r="T169" s="25">
        <f>SUM(T164:T168)</f>
        <v>123750.00000000001</v>
      </c>
      <c r="Y169" s="31" t="s">
        <v>82</v>
      </c>
      <c r="Z169" s="49">
        <v>0.027</v>
      </c>
      <c r="AA169" s="28">
        <f>+Z139*Z169*260</f>
        <v>17550</v>
      </c>
      <c r="AD169" s="23"/>
      <c r="AE169" s="2"/>
      <c r="AF169" s="25">
        <f>SUM(AF164:AF168)</f>
        <v>206250.00000000003</v>
      </c>
    </row>
    <row r="170" spans="1:27" ht="12.75">
      <c r="A170" s="32"/>
      <c r="B170" s="19"/>
      <c r="C170" s="22"/>
      <c r="M170" s="32"/>
      <c r="N170" s="19"/>
      <c r="O170" s="22"/>
      <c r="Y170" s="32"/>
      <c r="Z170" s="19"/>
      <c r="AA170" s="22"/>
    </row>
    <row r="171" spans="1:32" ht="12.75">
      <c r="A171" s="33"/>
      <c r="B171" s="2"/>
      <c r="C171" s="25">
        <f>SUM(C165:C170)</f>
        <v>10200</v>
      </c>
      <c r="F171" s="14" t="s">
        <v>42</v>
      </c>
      <c r="G171" s="15"/>
      <c r="H171" s="26"/>
      <c r="M171" s="33"/>
      <c r="N171" s="2"/>
      <c r="O171" s="25">
        <f>SUM(O165:O170)</f>
        <v>14130</v>
      </c>
      <c r="R171" s="14" t="s">
        <v>42</v>
      </c>
      <c r="S171" s="15"/>
      <c r="T171" s="26"/>
      <c r="Y171" s="33"/>
      <c r="Z171" s="2"/>
      <c r="AA171" s="25">
        <f>SUM(AA165:AA170)</f>
        <v>23550</v>
      </c>
      <c r="AD171" s="14" t="s">
        <v>42</v>
      </c>
      <c r="AE171" s="15"/>
      <c r="AF171" s="26"/>
    </row>
    <row r="172" spans="6:33" ht="12.75">
      <c r="F172" s="18" t="s">
        <v>61</v>
      </c>
      <c r="G172" s="19"/>
      <c r="H172" s="21">
        <v>6000</v>
      </c>
      <c r="R172" s="18" t="s">
        <v>61</v>
      </c>
      <c r="S172" s="19"/>
      <c r="T172" s="21">
        <f>+T161*0.02</f>
        <v>9200</v>
      </c>
      <c r="U172" s="12"/>
      <c r="AD172" s="18" t="s">
        <v>61</v>
      </c>
      <c r="AE172" s="19"/>
      <c r="AF172" s="21">
        <f>+AF161*0.02</f>
        <v>12200</v>
      </c>
      <c r="AG172" s="12"/>
    </row>
    <row r="173" spans="6:33" ht="12.75">
      <c r="F173" s="63" t="s">
        <v>48</v>
      </c>
      <c r="G173" s="64"/>
      <c r="H173" s="65">
        <v>30000</v>
      </c>
      <c r="R173" s="63" t="s">
        <v>48</v>
      </c>
      <c r="S173" s="64"/>
      <c r="T173" s="65">
        <f>+T161*0.1</f>
        <v>46000</v>
      </c>
      <c r="U173" s="12"/>
      <c r="AD173" s="63" t="s">
        <v>48</v>
      </c>
      <c r="AE173" s="64"/>
      <c r="AF173" s="65">
        <f>+AF161*0.1</f>
        <v>61000</v>
      </c>
      <c r="AG173" s="12"/>
    </row>
    <row r="174" spans="1:33" ht="12.75">
      <c r="A174" s="14" t="s">
        <v>19</v>
      </c>
      <c r="B174" s="15"/>
      <c r="C174" s="26"/>
      <c r="F174" s="63" t="s">
        <v>49</v>
      </c>
      <c r="G174" s="66"/>
      <c r="H174" s="65">
        <v>10000</v>
      </c>
      <c r="M174" s="14" t="s">
        <v>19</v>
      </c>
      <c r="N174" s="15"/>
      <c r="O174" s="26"/>
      <c r="R174" s="63" t="s">
        <v>49</v>
      </c>
      <c r="S174" s="66"/>
      <c r="T174" s="65">
        <f>+T161*0.03</f>
        <v>13800</v>
      </c>
      <c r="U174" s="12"/>
      <c r="Y174" s="14" t="s">
        <v>19</v>
      </c>
      <c r="Z174" s="15"/>
      <c r="AA174" s="26"/>
      <c r="AD174" s="63" t="s">
        <v>49</v>
      </c>
      <c r="AE174" s="66"/>
      <c r="AF174" s="65">
        <f>+AF161*0.03</f>
        <v>18300</v>
      </c>
      <c r="AG174" s="12"/>
    </row>
    <row r="175" spans="1:33" ht="12.75">
      <c r="A175" s="18" t="s">
        <v>20</v>
      </c>
      <c r="B175" s="27">
        <v>5</v>
      </c>
      <c r="C175" s="46">
        <f>+B$139*B175</f>
        <v>5000</v>
      </c>
      <c r="F175" s="63" t="s">
        <v>50</v>
      </c>
      <c r="G175" s="64"/>
      <c r="H175" s="65">
        <v>5000</v>
      </c>
      <c r="M175" s="18" t="s">
        <v>20</v>
      </c>
      <c r="N175" s="27">
        <v>5</v>
      </c>
      <c r="O175" s="46">
        <f>+N$139*N175</f>
        <v>7500</v>
      </c>
      <c r="R175" s="63" t="s">
        <v>50</v>
      </c>
      <c r="S175" s="64"/>
      <c r="T175" s="65">
        <f>+T161*0.02</f>
        <v>9200</v>
      </c>
      <c r="U175" s="12"/>
      <c r="Y175" s="18" t="s">
        <v>20</v>
      </c>
      <c r="Z175" s="27">
        <v>5</v>
      </c>
      <c r="AA175" s="46">
        <f>+Z$139*Z175</f>
        <v>12500</v>
      </c>
      <c r="AD175" s="63" t="s">
        <v>50</v>
      </c>
      <c r="AE175" s="64"/>
      <c r="AF175" s="65">
        <f>+AF161*0.02</f>
        <v>12200</v>
      </c>
      <c r="AG175" s="12"/>
    </row>
    <row r="176" spans="1:33" ht="12.75">
      <c r="A176" s="18" t="s">
        <v>21</v>
      </c>
      <c r="B176" s="27">
        <v>3</v>
      </c>
      <c r="C176" s="46">
        <f>+B$139*B176</f>
        <v>3000</v>
      </c>
      <c r="F176" s="18" t="s">
        <v>51</v>
      </c>
      <c r="G176" s="19"/>
      <c r="H176" s="21">
        <v>20000</v>
      </c>
      <c r="M176" s="18" t="s">
        <v>21</v>
      </c>
      <c r="N176" s="27">
        <v>3</v>
      </c>
      <c r="O176" s="46">
        <f>+N$139*N176</f>
        <v>4500</v>
      </c>
      <c r="R176" s="18" t="s">
        <v>51</v>
      </c>
      <c r="S176" s="19"/>
      <c r="T176" s="21">
        <f>+T161*0.07</f>
        <v>32200.000000000004</v>
      </c>
      <c r="U176" s="12"/>
      <c r="Y176" s="18" t="s">
        <v>21</v>
      </c>
      <c r="Z176" s="27">
        <v>3</v>
      </c>
      <c r="AA176" s="46">
        <f>+Z$139*Z176</f>
        <v>7500</v>
      </c>
      <c r="AD176" s="18" t="s">
        <v>51</v>
      </c>
      <c r="AE176" s="19"/>
      <c r="AF176" s="21">
        <f>+AF161*0.07</f>
        <v>42700.00000000001</v>
      </c>
      <c r="AG176" s="12"/>
    </row>
    <row r="177" spans="1:33" ht="12.75">
      <c r="A177" s="18" t="s">
        <v>2</v>
      </c>
      <c r="B177" s="27"/>
      <c r="C177" s="46">
        <f>+B$139*B177</f>
        <v>0</v>
      </c>
      <c r="F177" s="18" t="s">
        <v>52</v>
      </c>
      <c r="G177" s="19"/>
      <c r="H177" s="21">
        <v>30000</v>
      </c>
      <c r="M177" s="18" t="s">
        <v>2</v>
      </c>
      <c r="N177" s="27"/>
      <c r="O177" s="46">
        <f>+N$139*N177</f>
        <v>0</v>
      </c>
      <c r="R177" s="18" t="s">
        <v>52</v>
      </c>
      <c r="S177" s="19"/>
      <c r="T177" s="21">
        <f>+T161*0.1</f>
        <v>46000</v>
      </c>
      <c r="U177" s="12"/>
      <c r="Y177" s="18" t="s">
        <v>2</v>
      </c>
      <c r="Z177" s="27"/>
      <c r="AA177" s="46">
        <f>+Z$139*Z177</f>
        <v>0</v>
      </c>
      <c r="AD177" s="18" t="s">
        <v>52</v>
      </c>
      <c r="AE177" s="19"/>
      <c r="AF177" s="21">
        <f>+AF161*0.1</f>
        <v>61000</v>
      </c>
      <c r="AG177" s="12"/>
    </row>
    <row r="178" spans="1:33" ht="12.75">
      <c r="A178" s="18" t="s">
        <v>22</v>
      </c>
      <c r="B178" s="27">
        <v>0.5</v>
      </c>
      <c r="C178" s="46">
        <f>+B$139*B178</f>
        <v>500</v>
      </c>
      <c r="F178" s="18" t="s">
        <v>53</v>
      </c>
      <c r="G178" s="19"/>
      <c r="H178" s="21">
        <v>12000</v>
      </c>
      <c r="M178" s="18" t="s">
        <v>22</v>
      </c>
      <c r="N178" s="27">
        <v>0.5</v>
      </c>
      <c r="O178" s="46">
        <f>+N$139*N178</f>
        <v>750</v>
      </c>
      <c r="R178" s="18" t="s">
        <v>53</v>
      </c>
      <c r="S178" s="19"/>
      <c r="T178" s="21">
        <f>+T161*0.04</f>
        <v>18400</v>
      </c>
      <c r="U178" s="12"/>
      <c r="Y178" s="18" t="s">
        <v>22</v>
      </c>
      <c r="Z178" s="27">
        <v>0.5</v>
      </c>
      <c r="AA178" s="46">
        <f>+Z$139*Z178</f>
        <v>1250</v>
      </c>
      <c r="AD178" s="18" t="s">
        <v>53</v>
      </c>
      <c r="AE178" s="19"/>
      <c r="AF178" s="21">
        <f>+AF161*0.04</f>
        <v>24400</v>
      </c>
      <c r="AG178" s="12"/>
    </row>
    <row r="179" spans="1:33" ht="12.75">
      <c r="A179" s="18"/>
      <c r="B179" s="19"/>
      <c r="C179" s="28"/>
      <c r="F179" s="18" t="s">
        <v>47</v>
      </c>
      <c r="G179" s="19"/>
      <c r="H179" s="21">
        <v>30000</v>
      </c>
      <c r="M179" s="18"/>
      <c r="N179" s="19"/>
      <c r="O179" s="28"/>
      <c r="R179" s="18" t="s">
        <v>47</v>
      </c>
      <c r="S179" s="19"/>
      <c r="T179" s="21">
        <f>+T161*0.1</f>
        <v>46000</v>
      </c>
      <c r="U179" s="12"/>
      <c r="Y179" s="18"/>
      <c r="Z179" s="19"/>
      <c r="AA179" s="28"/>
      <c r="AD179" s="18" t="s">
        <v>47</v>
      </c>
      <c r="AE179" s="19"/>
      <c r="AF179" s="21">
        <f>+AF161*0.1</f>
        <v>61000</v>
      </c>
      <c r="AG179" s="12"/>
    </row>
    <row r="180" spans="1:32" ht="12.75">
      <c r="A180" s="18"/>
      <c r="B180" s="19"/>
      <c r="C180" s="28"/>
      <c r="F180" s="23"/>
      <c r="G180" s="2"/>
      <c r="H180" s="25">
        <f>SUM(H172:H179)</f>
        <v>143000</v>
      </c>
      <c r="M180" s="18"/>
      <c r="N180" s="19"/>
      <c r="O180" s="28"/>
      <c r="R180" s="23"/>
      <c r="S180" s="2"/>
      <c r="T180" s="25">
        <f>SUM(T172:T179)</f>
        <v>220800</v>
      </c>
      <c r="Y180" s="18"/>
      <c r="Z180" s="19"/>
      <c r="AA180" s="28"/>
      <c r="AD180" s="23"/>
      <c r="AE180" s="2"/>
      <c r="AF180" s="25">
        <f>SUM(AF172:AF179)</f>
        <v>292800</v>
      </c>
    </row>
    <row r="181" spans="1:27" ht="12.75">
      <c r="A181" s="23"/>
      <c r="B181" s="2"/>
      <c r="C181" s="25">
        <f>SUM(C175:C180)</f>
        <v>8500</v>
      </c>
      <c r="M181" s="23"/>
      <c r="N181" s="2"/>
      <c r="O181" s="25">
        <f>SUM(O175:O180)</f>
        <v>12750</v>
      </c>
      <c r="Y181" s="23"/>
      <c r="Z181" s="2"/>
      <c r="AA181" s="25">
        <f>SUM(AA175:AA180)</f>
        <v>21250</v>
      </c>
    </row>
    <row r="185" spans="8:32" ht="12.75">
      <c r="H185" s="42"/>
      <c r="T185" s="42"/>
      <c r="AF185" s="42"/>
    </row>
    <row r="188" spans="1:25" ht="12.75">
      <c r="A188" s="5" t="s">
        <v>127</v>
      </c>
      <c r="E188" t="s">
        <v>146</v>
      </c>
      <c r="M188" s="5" t="s">
        <v>127</v>
      </c>
      <c r="Y188" s="5" t="s">
        <v>127</v>
      </c>
    </row>
    <row r="189" spans="1:28" ht="12.75">
      <c r="A189" s="9" t="s">
        <v>140</v>
      </c>
      <c r="D189" s="7">
        <v>41667</v>
      </c>
      <c r="F189" t="s">
        <v>147</v>
      </c>
      <c r="M189" s="9" t="s">
        <v>140</v>
      </c>
      <c r="P189" s="7">
        <v>201667</v>
      </c>
      <c r="Y189" s="9" t="s">
        <v>140</v>
      </c>
      <c r="AB189" s="7">
        <v>367500</v>
      </c>
    </row>
    <row r="190" spans="1:28" ht="12.75">
      <c r="A190" s="9" t="s">
        <v>141</v>
      </c>
      <c r="D190" s="6">
        <v>1.23</v>
      </c>
      <c r="M190" s="9" t="s">
        <v>141</v>
      </c>
      <c r="P190" s="6">
        <v>1.7</v>
      </c>
      <c r="Y190" s="9" t="s">
        <v>141</v>
      </c>
      <c r="AB190" s="6">
        <v>2.11</v>
      </c>
    </row>
    <row r="191" spans="1:28" ht="12.75">
      <c r="A191" s="9" t="s">
        <v>142</v>
      </c>
      <c r="D191" s="72">
        <v>2</v>
      </c>
      <c r="M191" s="9" t="s">
        <v>142</v>
      </c>
      <c r="P191" s="72">
        <v>3.1</v>
      </c>
      <c r="Y191" s="9" t="s">
        <v>142</v>
      </c>
      <c r="AB191" s="72">
        <v>4.2</v>
      </c>
    </row>
    <row r="192" spans="1:28" ht="12.75">
      <c r="A192" t="s">
        <v>128</v>
      </c>
      <c r="D192" s="7">
        <v>423</v>
      </c>
      <c r="M192" t="s">
        <v>128</v>
      </c>
      <c r="P192" s="7">
        <v>2955</v>
      </c>
      <c r="Y192" t="s">
        <v>128</v>
      </c>
      <c r="AB192" s="7">
        <v>7175</v>
      </c>
    </row>
    <row r="193" spans="1:28" ht="12.75">
      <c r="A193" t="s">
        <v>129</v>
      </c>
      <c r="D193" s="7">
        <v>6500</v>
      </c>
      <c r="M193" t="s">
        <v>129</v>
      </c>
      <c r="P193" s="7">
        <v>8500</v>
      </c>
      <c r="Y193" t="s">
        <v>129</v>
      </c>
      <c r="AB193" s="7">
        <v>15000</v>
      </c>
    </row>
    <row r="194" spans="1:28" ht="12.75">
      <c r="A194" t="s">
        <v>130</v>
      </c>
      <c r="D194" s="7">
        <v>34151006</v>
      </c>
      <c r="E194" s="93">
        <f>D194/D192</f>
        <v>80735.23877068558</v>
      </c>
      <c r="F194" s="93">
        <f>E194/365</f>
        <v>221.19243498817968</v>
      </c>
      <c r="G194" s="92"/>
      <c r="M194" t="s">
        <v>130</v>
      </c>
      <c r="P194" s="7">
        <v>249644425</v>
      </c>
      <c r="Y194" t="s">
        <v>130</v>
      </c>
      <c r="AB194" s="7">
        <v>621453436</v>
      </c>
    </row>
    <row r="195" spans="1:28" ht="12.75">
      <c r="A195" t="s">
        <v>131</v>
      </c>
      <c r="D195" s="7">
        <v>1</v>
      </c>
      <c r="E195" s="94" t="s">
        <v>151</v>
      </c>
      <c r="F195" s="94" t="s">
        <v>149</v>
      </c>
      <c r="G195" s="92"/>
      <c r="M195" t="s">
        <v>131</v>
      </c>
      <c r="P195" s="7">
        <v>3</v>
      </c>
      <c r="Y195" t="s">
        <v>131</v>
      </c>
      <c r="AB195" s="7">
        <v>7</v>
      </c>
    </row>
    <row r="196" spans="1:28" ht="12.75">
      <c r="A196" t="s">
        <v>132</v>
      </c>
      <c r="D196" s="7">
        <v>1</v>
      </c>
      <c r="E196" s="93">
        <f>E194*1.609</f>
        <v>129902.9991820331</v>
      </c>
      <c r="F196" s="95">
        <f>F194*1.609</f>
        <v>355.8986278959811</v>
      </c>
      <c r="G196" s="92"/>
      <c r="M196" t="s">
        <v>132</v>
      </c>
      <c r="P196" s="7">
        <v>2</v>
      </c>
      <c r="Y196" t="s">
        <v>132</v>
      </c>
      <c r="AB196" s="7">
        <v>5</v>
      </c>
    </row>
    <row r="197" spans="1:28" ht="12.75">
      <c r="A197" t="s">
        <v>29</v>
      </c>
      <c r="D197" s="7">
        <v>25</v>
      </c>
      <c r="E197" s="92"/>
      <c r="F197" s="92"/>
      <c r="G197" s="92"/>
      <c r="M197" t="s">
        <v>29</v>
      </c>
      <c r="P197" s="7">
        <v>55</v>
      </c>
      <c r="Y197" t="s">
        <v>29</v>
      </c>
      <c r="AB197" s="7">
        <v>105</v>
      </c>
    </row>
    <row r="198" spans="1:28" ht="12.75">
      <c r="A198" t="s">
        <v>133</v>
      </c>
      <c r="D198" s="7">
        <v>10</v>
      </c>
      <c r="E198" s="94" t="s">
        <v>148</v>
      </c>
      <c r="F198" s="94" t="s">
        <v>150</v>
      </c>
      <c r="G198" s="92"/>
      <c r="M198" t="s">
        <v>133</v>
      </c>
      <c r="P198" s="7">
        <v>25</v>
      </c>
      <c r="Y198" t="s">
        <v>133</v>
      </c>
      <c r="AB198" s="7">
        <v>50</v>
      </c>
    </row>
    <row r="199" spans="1:28" ht="12.75">
      <c r="A199" t="s">
        <v>134</v>
      </c>
      <c r="D199" s="7">
        <v>1000</v>
      </c>
      <c r="E199" s="96">
        <f>D189*D191*1.609</f>
        <v>134084.406</v>
      </c>
      <c r="F199" s="97">
        <f>F196*D192</f>
        <v>150545.1196</v>
      </c>
      <c r="G199" s="92">
        <f>E199/F199</f>
        <v>0.8906592678411873</v>
      </c>
      <c r="M199" t="s">
        <v>134</v>
      </c>
      <c r="P199" s="7">
        <v>1500</v>
      </c>
      <c r="Y199" t="s">
        <v>134</v>
      </c>
      <c r="AB199" s="7">
        <v>2500</v>
      </c>
    </row>
    <row r="200" spans="1:28" ht="12.75">
      <c r="A200" t="s">
        <v>137</v>
      </c>
      <c r="D200" s="8">
        <v>20000</v>
      </c>
      <c r="E200" s="92"/>
      <c r="F200" s="92"/>
      <c r="G200" s="92"/>
      <c r="M200" t="s">
        <v>137</v>
      </c>
      <c r="P200" s="8">
        <v>30000</v>
      </c>
      <c r="Y200" t="s">
        <v>137</v>
      </c>
      <c r="AB200" s="8">
        <v>40000</v>
      </c>
    </row>
    <row r="201" spans="1:28" ht="12.75">
      <c r="A201" s="90" t="s">
        <v>138</v>
      </c>
      <c r="B201" s="91"/>
      <c r="D201" s="8"/>
      <c r="E201" s="94" t="s">
        <v>154</v>
      </c>
      <c r="F201" s="92"/>
      <c r="G201" s="92"/>
      <c r="M201" s="67" t="s">
        <v>138</v>
      </c>
      <c r="P201" s="8"/>
      <c r="Y201" s="67" t="s">
        <v>138</v>
      </c>
      <c r="AB201" s="8"/>
    </row>
    <row r="202" spans="1:28" ht="12.75">
      <c r="A202" s="87" t="s">
        <v>114</v>
      </c>
      <c r="B202" s="87">
        <v>1</v>
      </c>
      <c r="C202" s="45">
        <v>75000</v>
      </c>
      <c r="D202" s="45">
        <f aca="true" t="shared" si="9" ref="D202:D211">+B202*C202</f>
        <v>75000</v>
      </c>
      <c r="E202" s="98">
        <f>D189*D191*1.609*365</f>
        <v>48940808.19</v>
      </c>
      <c r="F202" s="92"/>
      <c r="G202" s="92"/>
      <c r="M202" s="19" t="s">
        <v>114</v>
      </c>
      <c r="N202" s="19">
        <v>1</v>
      </c>
      <c r="O202" s="45">
        <v>100000</v>
      </c>
      <c r="P202" s="45">
        <f aca="true" t="shared" si="10" ref="P202:P211">+N202*O202</f>
        <v>100000</v>
      </c>
      <c r="Y202" s="19" t="s">
        <v>114</v>
      </c>
      <c r="Z202" s="19">
        <v>1</v>
      </c>
      <c r="AA202" s="45">
        <v>100000</v>
      </c>
      <c r="AB202" s="45">
        <f aca="true" t="shared" si="11" ref="AB202:AB211">+Z202*AA202</f>
        <v>100000</v>
      </c>
    </row>
    <row r="203" spans="1:28" ht="12.75">
      <c r="A203" s="87" t="s">
        <v>115</v>
      </c>
      <c r="B203" s="87">
        <v>1</v>
      </c>
      <c r="C203" s="45">
        <v>60000</v>
      </c>
      <c r="D203" s="45">
        <f t="shared" si="9"/>
        <v>60000</v>
      </c>
      <c r="M203" s="19" t="s">
        <v>115</v>
      </c>
      <c r="N203" s="19">
        <v>2</v>
      </c>
      <c r="O203" s="45">
        <v>60000</v>
      </c>
      <c r="P203" s="45">
        <f t="shared" si="10"/>
        <v>120000</v>
      </c>
      <c r="Y203" s="19" t="s">
        <v>115</v>
      </c>
      <c r="Z203" s="19">
        <v>3</v>
      </c>
      <c r="AA203" s="45">
        <v>60000</v>
      </c>
      <c r="AB203" s="45">
        <f t="shared" si="11"/>
        <v>180000</v>
      </c>
    </row>
    <row r="204" spans="1:28" ht="12.75">
      <c r="A204" s="87" t="s">
        <v>34</v>
      </c>
      <c r="B204" s="87">
        <v>6</v>
      </c>
      <c r="C204" s="45">
        <v>45000</v>
      </c>
      <c r="D204" s="45">
        <f t="shared" si="9"/>
        <v>270000</v>
      </c>
      <c r="M204" s="19" t="s">
        <v>34</v>
      </c>
      <c r="N204" s="19">
        <v>9</v>
      </c>
      <c r="O204" s="45">
        <v>45000</v>
      </c>
      <c r="P204" s="45">
        <f t="shared" si="10"/>
        <v>405000</v>
      </c>
      <c r="Y204" s="19" t="s">
        <v>34</v>
      </c>
      <c r="Z204" s="19">
        <v>15</v>
      </c>
      <c r="AA204" s="45">
        <v>45000</v>
      </c>
      <c r="AB204" s="45">
        <f t="shared" si="11"/>
        <v>675000</v>
      </c>
    </row>
    <row r="205" spans="1:28" ht="12.75">
      <c r="A205" s="87" t="s">
        <v>113</v>
      </c>
      <c r="B205" s="87">
        <v>1</v>
      </c>
      <c r="C205" s="45">
        <v>60000</v>
      </c>
      <c r="D205" s="45">
        <f t="shared" si="9"/>
        <v>60000</v>
      </c>
      <c r="M205" s="19" t="s">
        <v>113</v>
      </c>
      <c r="N205" s="19">
        <v>2</v>
      </c>
      <c r="O205" s="45">
        <v>60000</v>
      </c>
      <c r="P205" s="45">
        <f t="shared" si="10"/>
        <v>120000</v>
      </c>
      <c r="Y205" s="19" t="s">
        <v>113</v>
      </c>
      <c r="Z205" s="19">
        <v>3</v>
      </c>
      <c r="AA205" s="45">
        <v>60000</v>
      </c>
      <c r="AB205" s="45">
        <f t="shared" si="11"/>
        <v>180000</v>
      </c>
    </row>
    <row r="206" spans="1:28" ht="12.75">
      <c r="A206" s="87" t="s">
        <v>116</v>
      </c>
      <c r="B206" s="87">
        <v>2</v>
      </c>
      <c r="C206" s="45">
        <v>50000</v>
      </c>
      <c r="D206" s="45">
        <f t="shared" si="9"/>
        <v>100000</v>
      </c>
      <c r="M206" s="19" t="s">
        <v>116</v>
      </c>
      <c r="N206" s="19">
        <v>4</v>
      </c>
      <c r="O206" s="45">
        <v>50000</v>
      </c>
      <c r="P206" s="45">
        <f t="shared" si="10"/>
        <v>200000</v>
      </c>
      <c r="Y206" s="19" t="s">
        <v>116</v>
      </c>
      <c r="Z206" s="19">
        <v>6</v>
      </c>
      <c r="AA206" s="45">
        <v>50000</v>
      </c>
      <c r="AB206" s="45">
        <f t="shared" si="11"/>
        <v>300000</v>
      </c>
    </row>
    <row r="207" spans="1:28" ht="12.75">
      <c r="A207" s="87" t="s">
        <v>111</v>
      </c>
      <c r="B207" s="87">
        <v>1</v>
      </c>
      <c r="C207" s="45">
        <v>40000</v>
      </c>
      <c r="D207" s="45">
        <f t="shared" si="9"/>
        <v>40000</v>
      </c>
      <c r="M207" s="19" t="s">
        <v>111</v>
      </c>
      <c r="N207" s="19">
        <v>3</v>
      </c>
      <c r="O207" s="45">
        <v>40000</v>
      </c>
      <c r="P207" s="45">
        <f t="shared" si="10"/>
        <v>120000</v>
      </c>
      <c r="Y207" s="19" t="s">
        <v>111</v>
      </c>
      <c r="Z207" s="19">
        <v>6</v>
      </c>
      <c r="AA207" s="45">
        <v>40000</v>
      </c>
      <c r="AB207" s="45">
        <f t="shared" si="11"/>
        <v>240000</v>
      </c>
    </row>
    <row r="208" spans="1:28" ht="12.75">
      <c r="A208" s="87" t="s">
        <v>35</v>
      </c>
      <c r="B208" s="87">
        <v>1</v>
      </c>
      <c r="C208" s="45">
        <v>125000</v>
      </c>
      <c r="D208" s="45">
        <f t="shared" si="9"/>
        <v>125000</v>
      </c>
      <c r="M208" s="19" t="s">
        <v>35</v>
      </c>
      <c r="N208" s="19">
        <v>1</v>
      </c>
      <c r="O208" s="45">
        <v>125000</v>
      </c>
      <c r="P208" s="45">
        <f t="shared" si="10"/>
        <v>125000</v>
      </c>
      <c r="Y208" s="19" t="s">
        <v>35</v>
      </c>
      <c r="Z208" s="19">
        <v>1</v>
      </c>
      <c r="AA208" s="45">
        <v>125000</v>
      </c>
      <c r="AB208" s="45">
        <f t="shared" si="11"/>
        <v>125000</v>
      </c>
    </row>
    <row r="209" spans="1:28" ht="12.75">
      <c r="A209" s="87" t="s">
        <v>135</v>
      </c>
      <c r="B209" s="87">
        <v>0</v>
      </c>
      <c r="C209" s="45">
        <v>80000</v>
      </c>
      <c r="D209" s="45">
        <f t="shared" si="9"/>
        <v>0</v>
      </c>
      <c r="M209" s="19" t="s">
        <v>135</v>
      </c>
      <c r="N209" s="19">
        <v>1</v>
      </c>
      <c r="O209" s="45">
        <v>80000</v>
      </c>
      <c r="P209" s="45">
        <f t="shared" si="10"/>
        <v>80000</v>
      </c>
      <c r="Y209" s="19" t="s">
        <v>135</v>
      </c>
      <c r="Z209" s="19">
        <v>1</v>
      </c>
      <c r="AA209" s="45">
        <v>80000</v>
      </c>
      <c r="AB209" s="45">
        <f t="shared" si="11"/>
        <v>80000</v>
      </c>
    </row>
    <row r="210" spans="1:28" ht="12.75">
      <c r="A210" s="87" t="s">
        <v>36</v>
      </c>
      <c r="B210" s="87">
        <v>1</v>
      </c>
      <c r="C210" s="45">
        <v>55000</v>
      </c>
      <c r="D210" s="45">
        <f t="shared" si="9"/>
        <v>55000</v>
      </c>
      <c r="M210" s="19" t="s">
        <v>36</v>
      </c>
      <c r="N210" s="19">
        <v>1</v>
      </c>
      <c r="O210" s="45">
        <v>55000</v>
      </c>
      <c r="P210" s="45">
        <f t="shared" si="10"/>
        <v>55000</v>
      </c>
      <c r="Y210" s="19" t="s">
        <v>36</v>
      </c>
      <c r="Z210" s="19">
        <v>3</v>
      </c>
      <c r="AA210" s="45">
        <v>55000</v>
      </c>
      <c r="AB210" s="45">
        <f t="shared" si="11"/>
        <v>165000</v>
      </c>
    </row>
    <row r="211" spans="1:28" ht="12.75">
      <c r="A211" s="87" t="s">
        <v>37</v>
      </c>
      <c r="B211" s="87">
        <v>3</v>
      </c>
      <c r="C211" s="45">
        <v>40000</v>
      </c>
      <c r="D211" s="45">
        <f t="shared" si="9"/>
        <v>120000</v>
      </c>
      <c r="M211" s="19" t="s">
        <v>37</v>
      </c>
      <c r="N211" s="19">
        <v>5</v>
      </c>
      <c r="O211" s="45">
        <v>40000</v>
      </c>
      <c r="P211" s="45">
        <f t="shared" si="10"/>
        <v>200000</v>
      </c>
      <c r="Y211" s="19" t="s">
        <v>37</v>
      </c>
      <c r="Z211" s="19">
        <v>6</v>
      </c>
      <c r="AA211" s="45">
        <v>40000</v>
      </c>
      <c r="AB211" s="45">
        <f t="shared" si="11"/>
        <v>240000</v>
      </c>
    </row>
    <row r="212" spans="1:28" ht="12.75">
      <c r="A212" s="91"/>
      <c r="B212" s="91">
        <f>SUM(B202:B211)</f>
        <v>17</v>
      </c>
      <c r="D212" s="7">
        <f>SUM(D202:D211)</f>
        <v>905000</v>
      </c>
      <c r="N212">
        <f>SUM(N202:N211)</f>
        <v>29</v>
      </c>
      <c r="P212" s="7">
        <f>SUM(P202:P211)</f>
        <v>1525000</v>
      </c>
      <c r="Z212">
        <f>SUM(Z202:Z211)</f>
        <v>45</v>
      </c>
      <c r="AB212" s="7">
        <f>SUM(AB202:AB211)</f>
        <v>2285000</v>
      </c>
    </row>
    <row r="213" spans="16:28" ht="12.75">
      <c r="P213" s="7"/>
      <c r="AB213" s="7"/>
    </row>
    <row r="214" spans="16:28" ht="12.75">
      <c r="P214" s="7"/>
      <c r="AB214" s="7"/>
    </row>
    <row r="215" spans="16:28" ht="12.75">
      <c r="P215" s="7"/>
      <c r="AB215" s="7"/>
    </row>
    <row r="216" spans="16:28" ht="12.75">
      <c r="P216" s="7"/>
      <c r="AB216" s="7"/>
    </row>
    <row r="217" spans="16:28" ht="12.75">
      <c r="P217" s="7"/>
      <c r="AB217" s="7"/>
    </row>
    <row r="218" spans="16:28" ht="12.75">
      <c r="P218" s="7"/>
      <c r="AB218" s="7"/>
    </row>
    <row r="219" spans="16:28" ht="12.75">
      <c r="P219" s="7"/>
      <c r="AB219" s="7"/>
    </row>
    <row r="220" spans="16:28" ht="12.75">
      <c r="P220" s="7"/>
      <c r="AB220" s="7"/>
    </row>
    <row r="221" spans="16:28" ht="12.75">
      <c r="P221" s="7"/>
      <c r="AB221" s="7"/>
    </row>
    <row r="222" spans="16:28" ht="12.75">
      <c r="P222" s="7"/>
      <c r="AB222" s="7"/>
    </row>
    <row r="223" spans="16:28" ht="12.75">
      <c r="P223" s="7"/>
      <c r="AB223" s="7"/>
    </row>
    <row r="224" spans="16:28" ht="12.75">
      <c r="P224" s="7"/>
      <c r="AB224" s="7"/>
    </row>
    <row r="225" spans="16:28" ht="12.75">
      <c r="P225" s="7"/>
      <c r="AB225" s="7"/>
    </row>
    <row r="226" spans="16:28" ht="12.75">
      <c r="P226" s="7"/>
      <c r="AB226" s="7"/>
    </row>
    <row r="227" spans="16:28" ht="12.75">
      <c r="P227" s="7"/>
      <c r="AB227" s="7"/>
    </row>
    <row r="228" spans="16:28" ht="12.75">
      <c r="P228" s="7"/>
      <c r="AB228" s="7"/>
    </row>
    <row r="229" spans="16:28" ht="12.75">
      <c r="P229" s="7"/>
      <c r="AB229" s="7"/>
    </row>
    <row r="230" spans="16:28" ht="12.75">
      <c r="P230" s="7"/>
      <c r="AB230" s="7"/>
    </row>
    <row r="231" spans="16:28" ht="12.75">
      <c r="P231" s="7"/>
      <c r="AB231" s="7"/>
    </row>
    <row r="232" spans="16:28" ht="12.75">
      <c r="P232" s="7"/>
      <c r="AB232" s="7"/>
    </row>
    <row r="233" spans="16:28" ht="12.75">
      <c r="P233" s="7"/>
      <c r="AB233" s="7"/>
    </row>
    <row r="234" spans="16:28" ht="12.75">
      <c r="P234" s="7"/>
      <c r="AB234" s="7"/>
    </row>
    <row r="235" spans="16:28" ht="12.75">
      <c r="P235" s="7"/>
      <c r="AB235" s="7"/>
    </row>
    <row r="236" spans="16:28" ht="12.75">
      <c r="P236" s="7"/>
      <c r="AB236" s="7"/>
    </row>
    <row r="237" spans="16:28" ht="12.75">
      <c r="P237" s="7"/>
      <c r="AB237" s="7"/>
    </row>
    <row r="238" spans="16:28" ht="12.75">
      <c r="P238" s="7"/>
      <c r="AB238" s="7"/>
    </row>
    <row r="239" spans="16:28" ht="12.75">
      <c r="P239" s="7"/>
      <c r="AB239" s="7"/>
    </row>
    <row r="240" spans="16:28" ht="12.75">
      <c r="P240" s="7"/>
      <c r="AB240" s="7"/>
    </row>
    <row r="241" spans="16:28" ht="12.75">
      <c r="P241" s="7"/>
      <c r="AB241" s="7"/>
    </row>
    <row r="242" spans="16:28" ht="12.75">
      <c r="P242" s="7"/>
      <c r="AB242" s="7"/>
    </row>
    <row r="243" spans="16:28" ht="12.75">
      <c r="P243" s="7"/>
      <c r="AB243" s="7"/>
    </row>
    <row r="244" spans="16:28" ht="12.75">
      <c r="P244" s="7"/>
      <c r="AB244" s="7"/>
    </row>
    <row r="245" spans="16:28" ht="12.75">
      <c r="P245" s="7"/>
      <c r="AB245" s="7"/>
    </row>
    <row r="246" ht="12.75">
      <c r="P246" s="7"/>
    </row>
    <row r="247" ht="12.75">
      <c r="P247" s="7"/>
    </row>
    <row r="248" ht="12.75">
      <c r="P248" s="7"/>
    </row>
    <row r="249" ht="12.75">
      <c r="P249" s="7"/>
    </row>
    <row r="250" ht="12.75">
      <c r="P250" s="7"/>
    </row>
    <row r="251" ht="12.75">
      <c r="P251" s="7"/>
    </row>
    <row r="252" ht="12.75">
      <c r="P252" s="7"/>
    </row>
    <row r="253" ht="12.75">
      <c r="P253" s="7"/>
    </row>
    <row r="254" ht="12.75">
      <c r="P254" s="7"/>
    </row>
    <row r="255" ht="12.75">
      <c r="P255" s="7"/>
    </row>
  </sheetData>
  <mergeCells count="3">
    <mergeCell ref="C1:H1"/>
    <mergeCell ref="P1:U1"/>
    <mergeCell ref="AB1:AG1"/>
  </mergeCells>
  <printOptions gridLines="1"/>
  <pageMargins left="0.75" right="0.75" top="1" bottom="1" header="0.5" footer="0.5"/>
  <pageSetup fitToHeight="5" fitToWidth="3" horizontalDpi="600" verticalDpi="600" orientation="landscape" scale="85" r:id="rId1"/>
  <headerFooter alignWithMargins="0">
    <oddHeader>&amp;L&amp;8&amp;F&amp;C&amp;A&amp;R&amp;8&amp;D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Arno Mong Daastoel</cp:lastModifiedBy>
  <cp:lastPrinted>2003-02-09T21:48:16Z</cp:lastPrinted>
  <dcterms:created xsi:type="dcterms:W3CDTF">2000-09-07T00:04:09Z</dcterms:created>
  <dcterms:modified xsi:type="dcterms:W3CDTF">2003-05-01T18:50:41Z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2007069175</vt:i4>
  </property>
  <property fmtid="{D5CDD505-2E9C-101B-9397-08002B2CF9AE}" pid="3" name="_EmailSubject">
    <vt:lpwstr/>
  </property>
  <property fmtid="{D5CDD505-2E9C-101B-9397-08002B2CF9AE}" pid="4" name="_AuthorEmail">
    <vt:lpwstr>Goran@transek.se</vt:lpwstr>
  </property>
  <property fmtid="{D5CDD505-2E9C-101B-9397-08002B2CF9AE}" pid="5" name="_AuthorEmailDisplayName">
    <vt:lpwstr>Göran Tegner</vt:lpwstr>
  </property>
  <property fmtid="{D5CDD505-2E9C-101B-9397-08002B2CF9AE}" pid="6" name="_PreviousAdHocReviewCycleID">
    <vt:i4>-345056407</vt:i4>
  </property>
  <property fmtid="{D5CDD505-2E9C-101B-9397-08002B2CF9AE}" pid="7" name="_ReviewingToolsShownOnce">
    <vt:lpwstr/>
  </property>
</Properties>
</file>